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340" windowHeight="6735"/>
  </bookViews>
  <sheets>
    <sheet name="20711 Информация о б" sheetId="1" r:id="rId1"/>
  </sheets>
  <definedNames>
    <definedName name="_xlnm.Print_Titles" localSheetId="0">'20711 Информация о б'!$5:$7</definedName>
    <definedName name="_xlnm.Print_Area" localSheetId="0">'20711 Информация о б'!$A$1:$AF$174</definedName>
  </definedNames>
  <calcPr calcId="145621"/>
</workbook>
</file>

<file path=xl/calcChain.xml><?xml version="1.0" encoding="utf-8"?>
<calcChain xmlns="http://schemas.openxmlformats.org/spreadsheetml/2006/main">
  <c r="AC9" i="1" l="1"/>
  <c r="AE9" i="1"/>
  <c r="V11" i="1"/>
  <c r="AD11" i="1"/>
  <c r="AE11" i="1"/>
  <c r="V13" i="1"/>
  <c r="AD13" i="1"/>
  <c r="AE13" i="1"/>
  <c r="V14" i="1"/>
  <c r="AD14" i="1"/>
  <c r="AE14" i="1"/>
  <c r="V15" i="1"/>
  <c r="AC15" i="1"/>
  <c r="AD15" i="1"/>
  <c r="AE15" i="1"/>
  <c r="V16" i="1"/>
  <c r="AC16" i="1"/>
  <c r="AD16" i="1"/>
  <c r="AE16" i="1"/>
  <c r="V18" i="1"/>
  <c r="AD18" i="1"/>
  <c r="AE18" i="1"/>
  <c r="AC19" i="1"/>
  <c r="AE19" i="1"/>
  <c r="V20" i="1"/>
  <c r="AC20" i="1"/>
  <c r="AD20" i="1"/>
  <c r="AE20" i="1"/>
  <c r="V22" i="1"/>
  <c r="AC22" i="1"/>
  <c r="AD22" i="1"/>
  <c r="V23" i="1"/>
  <c r="AC23" i="1"/>
  <c r="AD23" i="1"/>
  <c r="V24" i="1"/>
  <c r="AC24" i="1"/>
  <c r="AD24" i="1"/>
  <c r="V26" i="1"/>
  <c r="AC26" i="1"/>
  <c r="AD26" i="1"/>
  <c r="V27" i="1"/>
  <c r="AC27" i="1"/>
  <c r="AD27" i="1"/>
  <c r="AE27" i="1"/>
  <c r="V28" i="1"/>
  <c r="AC28" i="1"/>
  <c r="AD28" i="1"/>
  <c r="AE28" i="1"/>
  <c r="V30" i="1"/>
  <c r="AC30" i="1"/>
  <c r="AD30" i="1"/>
  <c r="V31" i="1"/>
  <c r="AD31" i="1"/>
  <c r="AE31" i="1"/>
  <c r="V32" i="1"/>
  <c r="AC32" i="1"/>
  <c r="AD32" i="1"/>
  <c r="AE32" i="1"/>
  <c r="AC33" i="1"/>
  <c r="AE33" i="1"/>
  <c r="AC34" i="1"/>
  <c r="AE34" i="1"/>
  <c r="AC35" i="1"/>
  <c r="AE35" i="1"/>
  <c r="V36" i="1"/>
  <c r="AC36" i="1"/>
  <c r="AD36" i="1"/>
  <c r="AE36" i="1"/>
  <c r="V38" i="1"/>
  <c r="AC38" i="1"/>
  <c r="AD38" i="1"/>
  <c r="AC39" i="1"/>
  <c r="AD39" i="1"/>
  <c r="AC40" i="1"/>
  <c r="AE40" i="1"/>
  <c r="V41" i="1"/>
  <c r="AC41" i="1"/>
  <c r="AD41" i="1"/>
  <c r="AE41" i="1"/>
  <c r="AC43" i="1"/>
  <c r="AE43" i="1"/>
  <c r="AC44" i="1"/>
  <c r="AE44" i="1"/>
  <c r="AC45" i="1"/>
  <c r="AE45" i="1"/>
  <c r="V47" i="1"/>
  <c r="AC47" i="1"/>
  <c r="AD47" i="1"/>
  <c r="AE47" i="1"/>
  <c r="AC48" i="1"/>
  <c r="AE48" i="1"/>
  <c r="V49" i="1"/>
  <c r="AC49" i="1"/>
  <c r="AD49" i="1"/>
  <c r="AE49" i="1"/>
  <c r="AC51" i="1"/>
  <c r="AE51" i="1"/>
  <c r="V53" i="1"/>
  <c r="AC53" i="1"/>
  <c r="AD53" i="1"/>
  <c r="AE53" i="1"/>
  <c r="V55" i="1"/>
  <c r="AC55" i="1"/>
  <c r="AD55" i="1"/>
  <c r="V56" i="1"/>
  <c r="AC56" i="1"/>
  <c r="AD56" i="1"/>
  <c r="V57" i="1"/>
  <c r="AD57" i="1"/>
  <c r="AE57" i="1"/>
  <c r="V58" i="1"/>
  <c r="AD58" i="1"/>
  <c r="AE58" i="1"/>
  <c r="AC59" i="1"/>
  <c r="AE59" i="1"/>
  <c r="AC60" i="1"/>
  <c r="AE60" i="1"/>
  <c r="V61" i="1"/>
  <c r="AC61" i="1"/>
  <c r="AD61" i="1"/>
  <c r="AE61" i="1"/>
  <c r="V63" i="1"/>
  <c r="AC63" i="1"/>
  <c r="AD63" i="1"/>
  <c r="V64" i="1"/>
  <c r="AD64" i="1"/>
  <c r="AE64" i="1"/>
  <c r="V65" i="1"/>
  <c r="AC65" i="1"/>
  <c r="AD65" i="1"/>
  <c r="AE65" i="1"/>
  <c r="V67" i="1"/>
  <c r="AC67" i="1"/>
  <c r="AD67" i="1"/>
  <c r="AE67" i="1"/>
  <c r="V68" i="1"/>
  <c r="AC68" i="1"/>
  <c r="AD68" i="1"/>
  <c r="AE68" i="1"/>
  <c r="V69" i="1"/>
  <c r="AC69" i="1"/>
  <c r="AD69" i="1"/>
  <c r="AE69" i="1"/>
  <c r="AC70" i="1"/>
  <c r="AE70" i="1"/>
  <c r="V71" i="1"/>
  <c r="AC71" i="1"/>
  <c r="AD71" i="1"/>
  <c r="AE71" i="1"/>
  <c r="V73" i="1"/>
  <c r="AD73" i="1"/>
  <c r="AE73" i="1"/>
  <c r="V74" i="1"/>
  <c r="AC74" i="1"/>
  <c r="AD74" i="1"/>
  <c r="AE74" i="1"/>
  <c r="AC75" i="1"/>
  <c r="AE75" i="1"/>
  <c r="V76" i="1"/>
  <c r="AC76" i="1"/>
  <c r="AD76" i="1"/>
  <c r="AE76" i="1"/>
  <c r="V78" i="1"/>
  <c r="AD78" i="1"/>
  <c r="AE78" i="1"/>
  <c r="V79" i="1"/>
  <c r="AD79" i="1"/>
  <c r="AE79" i="1"/>
  <c r="V80" i="1"/>
  <c r="AC80" i="1"/>
  <c r="AD80" i="1"/>
  <c r="AE80" i="1"/>
  <c r="AC81" i="1"/>
  <c r="AE81" i="1"/>
  <c r="V82" i="1"/>
  <c r="AC82" i="1"/>
  <c r="AD82" i="1"/>
  <c r="AE82" i="1"/>
  <c r="V84" i="1"/>
  <c r="AD84" i="1"/>
  <c r="V85" i="1"/>
  <c r="AD85" i="1"/>
  <c r="V86" i="1"/>
  <c r="AD86" i="1"/>
  <c r="V88" i="1"/>
  <c r="AC88" i="1"/>
  <c r="AD88" i="1"/>
  <c r="V89" i="1"/>
  <c r="AD89" i="1"/>
  <c r="AE89" i="1"/>
  <c r="V90" i="1"/>
  <c r="AC90" i="1"/>
  <c r="AD90" i="1"/>
  <c r="AE90" i="1"/>
  <c r="V91" i="1"/>
  <c r="AC91" i="1"/>
  <c r="AD91" i="1"/>
  <c r="AE91" i="1"/>
  <c r="V92" i="1"/>
  <c r="AD92" i="1"/>
  <c r="AE92" i="1"/>
  <c r="V93" i="1"/>
  <c r="AD93" i="1"/>
  <c r="AE93" i="1"/>
  <c r="V94" i="1"/>
  <c r="AD94" i="1"/>
  <c r="AE94" i="1"/>
  <c r="V95" i="1"/>
  <c r="AD95" i="1"/>
  <c r="AE95" i="1"/>
  <c r="AC96" i="1"/>
  <c r="AE96" i="1"/>
  <c r="V97" i="1"/>
  <c r="AC97" i="1"/>
  <c r="AD97" i="1"/>
  <c r="AE97" i="1"/>
  <c r="V99" i="1"/>
  <c r="AE99" i="1"/>
  <c r="V100" i="1"/>
  <c r="AD100" i="1"/>
  <c r="AE100" i="1"/>
  <c r="V101" i="1"/>
  <c r="AE101" i="1"/>
  <c r="V102" i="1"/>
  <c r="AD102" i="1"/>
  <c r="AE102" i="1"/>
  <c r="V103" i="1"/>
  <c r="AD103" i="1"/>
  <c r="AE103" i="1"/>
  <c r="V105" i="1"/>
  <c r="AD105" i="1"/>
  <c r="AE105" i="1"/>
  <c r="V107" i="1"/>
  <c r="AD107" i="1"/>
  <c r="AE107" i="1"/>
  <c r="V108" i="1"/>
  <c r="AD108" i="1"/>
  <c r="AE108" i="1"/>
  <c r="V109" i="1"/>
  <c r="AD109" i="1"/>
  <c r="AE109" i="1"/>
  <c r="V111" i="1"/>
  <c r="AC111" i="1"/>
  <c r="AD111" i="1"/>
  <c r="V112" i="1"/>
  <c r="AC112" i="1"/>
  <c r="AD112" i="1"/>
  <c r="V113" i="1"/>
  <c r="AD113" i="1"/>
  <c r="AE113" i="1"/>
  <c r="V114" i="1"/>
  <c r="AD114" i="1"/>
  <c r="AE114" i="1"/>
  <c r="V115" i="1"/>
  <c r="AC115" i="1"/>
  <c r="AD115" i="1"/>
  <c r="AE115" i="1"/>
  <c r="V117" i="1"/>
  <c r="AD117" i="1"/>
  <c r="V119" i="1"/>
  <c r="AD119" i="1"/>
  <c r="AE119" i="1"/>
  <c r="V120" i="1"/>
  <c r="AC120" i="1"/>
  <c r="AD120" i="1"/>
  <c r="AE120" i="1"/>
  <c r="V121" i="1"/>
  <c r="AD121" i="1"/>
  <c r="AE121" i="1"/>
  <c r="V122" i="1"/>
  <c r="AD122" i="1"/>
  <c r="AE122" i="1"/>
  <c r="V123" i="1"/>
  <c r="AD123" i="1"/>
  <c r="AE123" i="1"/>
  <c r="AC124" i="1"/>
  <c r="AE124" i="1"/>
  <c r="AC125" i="1"/>
  <c r="AE125" i="1"/>
  <c r="V126" i="1"/>
  <c r="AC126" i="1"/>
  <c r="AD126" i="1"/>
  <c r="AE126" i="1"/>
  <c r="V128" i="1"/>
  <c r="AD128" i="1"/>
  <c r="AE128" i="1"/>
  <c r="V129" i="1"/>
  <c r="AC129" i="1"/>
  <c r="AD129" i="1"/>
  <c r="AE129" i="1"/>
  <c r="V130" i="1"/>
  <c r="AC130" i="1"/>
  <c r="AD130" i="1"/>
  <c r="AE130" i="1"/>
  <c r="V131" i="1"/>
  <c r="AC131" i="1"/>
  <c r="AD131" i="1"/>
  <c r="AE131" i="1"/>
  <c r="V132" i="1"/>
  <c r="AC132" i="1"/>
  <c r="AD132" i="1"/>
  <c r="AE132" i="1"/>
  <c r="V133" i="1"/>
  <c r="AC133" i="1"/>
  <c r="AD133" i="1"/>
  <c r="V134" i="1"/>
  <c r="AC134" i="1"/>
  <c r="AD134" i="1"/>
  <c r="AC135" i="1"/>
  <c r="AE135" i="1"/>
  <c r="V136" i="1"/>
  <c r="AC136" i="1"/>
  <c r="AD136" i="1"/>
  <c r="AE136" i="1"/>
  <c r="V138" i="1"/>
  <c r="AD138" i="1"/>
  <c r="AE138" i="1"/>
  <c r="V139" i="1"/>
  <c r="AC139" i="1"/>
  <c r="AD139" i="1"/>
  <c r="AE139" i="1"/>
  <c r="V140" i="1"/>
  <c r="AC140" i="1"/>
  <c r="AD140" i="1"/>
  <c r="V141" i="1"/>
  <c r="AD141" i="1"/>
  <c r="AE141" i="1"/>
  <c r="V142" i="1"/>
  <c r="AD142" i="1"/>
  <c r="AE142" i="1"/>
  <c r="V143" i="1"/>
  <c r="AC143" i="1"/>
  <c r="AD143" i="1"/>
  <c r="AE143" i="1"/>
  <c r="V145" i="1"/>
  <c r="AD145" i="1"/>
  <c r="AE145" i="1"/>
  <c r="AC146" i="1"/>
  <c r="AE146" i="1"/>
  <c r="V147" i="1"/>
  <c r="AC147" i="1"/>
  <c r="AD147" i="1"/>
  <c r="AE147" i="1"/>
  <c r="V149" i="1"/>
  <c r="AC149" i="1"/>
  <c r="AD149" i="1"/>
  <c r="V150" i="1"/>
  <c r="AD150" i="1"/>
  <c r="AE150" i="1"/>
  <c r="V151" i="1"/>
  <c r="AD151" i="1"/>
  <c r="AE151" i="1"/>
  <c r="V152" i="1"/>
  <c r="AC152" i="1"/>
  <c r="AD152" i="1"/>
  <c r="AE152" i="1"/>
  <c r="V153" i="1"/>
  <c r="AC153" i="1"/>
  <c r="AD153" i="1"/>
  <c r="V154" i="1"/>
  <c r="AD154" i="1"/>
  <c r="AE154" i="1"/>
  <c r="V155" i="1"/>
  <c r="AD155" i="1"/>
  <c r="AE155" i="1"/>
  <c r="AC156" i="1"/>
  <c r="AE156" i="1"/>
  <c r="V157" i="1"/>
  <c r="AC157" i="1"/>
  <c r="AD157" i="1"/>
  <c r="AE157" i="1"/>
  <c r="V159" i="1"/>
  <c r="AC159" i="1"/>
  <c r="AD159" i="1"/>
  <c r="V161" i="1"/>
  <c r="AC161" i="1"/>
  <c r="AD161" i="1"/>
  <c r="V162" i="1"/>
  <c r="AD162" i="1"/>
  <c r="AE162" i="1"/>
  <c r="V163" i="1"/>
  <c r="AC163" i="1"/>
  <c r="AD163" i="1"/>
  <c r="AE163" i="1"/>
  <c r="V164" i="1"/>
  <c r="AC164" i="1"/>
  <c r="AD164" i="1"/>
  <c r="AE164" i="1"/>
  <c r="AC165" i="1"/>
  <c r="AE165" i="1"/>
  <c r="AC166" i="1"/>
  <c r="AE166" i="1"/>
  <c r="AC167" i="1"/>
  <c r="AE167" i="1"/>
  <c r="V168" i="1"/>
  <c r="AC168" i="1"/>
  <c r="AD168" i="1"/>
  <c r="AE168" i="1"/>
  <c r="V170" i="1"/>
  <c r="AC170" i="1"/>
  <c r="AD170" i="1"/>
  <c r="AE170" i="1"/>
  <c r="V171" i="1"/>
  <c r="AD171" i="1"/>
  <c r="AE171" i="1"/>
  <c r="V172" i="1"/>
  <c r="AD172" i="1"/>
  <c r="AE172" i="1"/>
  <c r="V173" i="1"/>
  <c r="AC173" i="1"/>
  <c r="AD173" i="1"/>
  <c r="AE173" i="1"/>
  <c r="V174" i="1"/>
  <c r="AC174" i="1"/>
  <c r="AD174" i="1"/>
  <c r="AE174" i="1"/>
</calcChain>
</file>

<file path=xl/sharedStrings.xml><?xml version="1.0" encoding="utf-8"?>
<sst xmlns="http://schemas.openxmlformats.org/spreadsheetml/2006/main" count="917" uniqueCount="264">
  <si>
    <t>Информация</t>
  </si>
  <si>
    <t>о бюджетных кредитах, предоставленных из областного бюджета
муниципальным образованиям</t>
  </si>
  <si>
    <t>за период с 01.01.2015 по 31.12.2015</t>
  </si>
  <si>
    <t/>
  </si>
  <si>
    <t>№ п/п</t>
  </si>
  <si>
    <t>Наименование и № договора</t>
  </si>
  <si>
    <t>Дата погашения</t>
  </si>
  <si>
    <t>Цель выдачи</t>
  </si>
  <si>
    <t>Остаток на 01.01.2015</t>
  </si>
  <si>
    <t>Дебет</t>
  </si>
  <si>
    <t>Кредит</t>
  </si>
  <si>
    <t>Обороты за период</t>
  </si>
  <si>
    <t>Остаток на 01.01.2016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</si>
  <si>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</si>
  <si>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</si>
  <si>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</si>
  <si>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</si>
  <si>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</si>
  <si>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</si>
  <si>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</si>
  <si>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</si>
  <si>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</si>
  <si>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</si>
  <si>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Администрация Борисоглебского сельского поселения</t>
  </si>
  <si>
    <t xml:space="preserve">Договор на кредиты № 02-2-08/15-09 от 11.08.2015 </t>
  </si>
  <si>
    <t>11.07.2016</t>
  </si>
  <si>
    <t>На частичное погашение дефицита бюджета</t>
  </si>
  <si>
    <t xml:space="preserve">Договор на кредиты № 02-2-08/13-18 от 26.07.2013 </t>
  </si>
  <si>
    <t>25.07.2016</t>
  </si>
  <si>
    <t>Администрация городского поселения Гаврилов-Ям</t>
  </si>
  <si>
    <t xml:space="preserve">Договор на кредиты № 02-2-08/13-17 от 26.07.2013 </t>
  </si>
  <si>
    <t xml:space="preserve">Договор на кредиты № 02-2-08/13-28 от 13.12.2013 </t>
  </si>
  <si>
    <t>25.11.2016</t>
  </si>
  <si>
    <t xml:space="preserve">Договор на кредиты № 02-2-08/14-10 от 11.07.2014 </t>
  </si>
  <si>
    <t>06.07.2017</t>
  </si>
  <si>
    <t>Администрация городского поселения Пошехонье</t>
  </si>
  <si>
    <t xml:space="preserve">Договор на кредиты № 02-2-08/13-31 от 23.12.2013 </t>
  </si>
  <si>
    <t>05.12.2016</t>
  </si>
  <si>
    <t xml:space="preserve">Договор на кредиты № 02-2-08/15-24 от 14.12.2015 </t>
  </si>
  <si>
    <t>18.11.2016</t>
  </si>
  <si>
    <t>Администрация городского поселения Тутаев</t>
  </si>
  <si>
    <t xml:space="preserve">Договор на кредиты № 02-2-08/14-20 от 06.10.2014 </t>
  </si>
  <si>
    <t>10.09.2015</t>
  </si>
  <si>
    <t xml:space="preserve">Договор на кредиты № 02-2-08/12-16 от 20.12.2012 </t>
  </si>
  <si>
    <t>11.12.2015</t>
  </si>
  <si>
    <t xml:space="preserve">Договор на кредиты № 02-2-08/12-01 от 09.04.2012 </t>
  </si>
  <si>
    <t>08.04.2015</t>
  </si>
  <si>
    <t xml:space="preserve">Договор на кредиты № 02-2-08/14-14 от 29.07.2014 </t>
  </si>
  <si>
    <t>20.07.2017</t>
  </si>
  <si>
    <t xml:space="preserve">Договор на кредиты № 02-2-08/12-06 от 18.07.2012 </t>
  </si>
  <si>
    <t>15.05.2015</t>
  </si>
  <si>
    <t xml:space="preserve">Договор на кредиты № 02-2-08/13-12 от 01.07.2013 </t>
  </si>
  <si>
    <t>27.05.2016</t>
  </si>
  <si>
    <t xml:space="preserve">Договор на кредиты № 02-2-08/14-09 от 01.07.2014 </t>
  </si>
  <si>
    <t>28.06.2017</t>
  </si>
  <si>
    <t xml:space="preserve">Договор на кредиты № 02-2-08/15-01 от 02.03.2015 </t>
  </si>
  <si>
    <t>15.02.2016</t>
  </si>
  <si>
    <t xml:space="preserve">Договор на кредиты № 02-2-08/15-13 от 28.08.2015 </t>
  </si>
  <si>
    <t>20.08.2016</t>
  </si>
  <si>
    <t xml:space="preserve">Договор на кредиты № 02-2-08/15-23 от 14.12.2015 </t>
  </si>
  <si>
    <t>Администрация Заволжского сельского поселения</t>
  </si>
  <si>
    <t xml:space="preserve">Договор на кредиты № 02-2-08/14-06 от 27.06.2014 </t>
  </si>
  <si>
    <t>05.06.2015</t>
  </si>
  <si>
    <t xml:space="preserve">Договор на кредиты № 02-2-08/15-06 от 02.06.2015 </t>
  </si>
  <si>
    <t>25.11.2015</t>
  </si>
  <si>
    <t xml:space="preserve">Договор на кредиты № 02-2-08/15-22 от 23.11.2015 </t>
  </si>
  <si>
    <t xml:space="preserve">Договор на кредиты № 02-2-08/15-02 от 23.04.2015 </t>
  </si>
  <si>
    <t>15.04.2016</t>
  </si>
  <si>
    <t xml:space="preserve">Договор на кредиты № 02-2-08/15-18 от 27.11.2015 </t>
  </si>
  <si>
    <t>20.10.2016</t>
  </si>
  <si>
    <t xml:space="preserve">Договор на кредиты № 02-2-08/14-07 от 17.06.2014 </t>
  </si>
  <si>
    <t>06.06.2017</t>
  </si>
  <si>
    <t xml:space="preserve">Договор на кредиты № 02-2-08/15-16 от 12.10.2015 </t>
  </si>
  <si>
    <t>26.09.2016</t>
  </si>
  <si>
    <t>Администрация Пригородного сельского поселения</t>
  </si>
  <si>
    <t xml:space="preserve">Договор на кредиты № 02-2-08/15-10 от 24.08.2015 </t>
  </si>
  <si>
    <t xml:space="preserve">Договор на кредиты № 02-2-08/14-05 от 06.06.2014 </t>
  </si>
  <si>
    <t>05.06.2017</t>
  </si>
  <si>
    <t xml:space="preserve">Договор на кредиты № 02-2-08/14-04 от 14.05.2014 </t>
  </si>
  <si>
    <t>29.04.2015</t>
  </si>
  <si>
    <t xml:space="preserve">Договор на кредиты № 02-2-08/14-18 от 02.09.2014 </t>
  </si>
  <si>
    <t>15.08.2015</t>
  </si>
  <si>
    <t xml:space="preserve">Договор на кредиты № 2-06д от 01.08.2010 </t>
  </si>
  <si>
    <t>15.12.2019</t>
  </si>
  <si>
    <t xml:space="preserve">Договор на кредиты № 1-06д от 01.08.2010 </t>
  </si>
  <si>
    <t xml:space="preserve">Договор на кредиты № 02-2-08/15-07 от 03.06.2015 </t>
  </si>
  <si>
    <t>26.05.2016</t>
  </si>
  <si>
    <t xml:space="preserve">Договор на кредиты № 02-2-08/15-11 от 28.08.2015 </t>
  </si>
  <si>
    <t xml:space="preserve">Договор на кредиты № 02-2-08/12-09 от 28.08.2012 </t>
  </si>
  <si>
    <t>30.07.2015</t>
  </si>
  <si>
    <t xml:space="preserve">Договор на кредиты № 02-2-08/13-01 от 08.02.2013 </t>
  </si>
  <si>
    <t>08.02.2016</t>
  </si>
  <si>
    <t>Департамент финансов Администрации Переславского муниципального района</t>
  </si>
  <si>
    <t xml:space="preserve">Договор на кредиты № 02-2-08/14-01 от 10.04.2014 </t>
  </si>
  <si>
    <t>07.04.2017</t>
  </si>
  <si>
    <t xml:space="preserve">Договор на кредиты № 02-2-08/14-16 от 12.08.2014 </t>
  </si>
  <si>
    <t>11.08.2017</t>
  </si>
  <si>
    <t xml:space="preserve">Договор на кредиты № 02-2-08/13-02 от 14.05.2013 </t>
  </si>
  <si>
    <t>13.05.2016</t>
  </si>
  <si>
    <t>на погашение кредиторской задолженности по оплате коммунальных услуг</t>
  </si>
  <si>
    <t xml:space="preserve">Договор на кредиты № 02-2-08/15-15 от 21.09.2015 </t>
  </si>
  <si>
    <t>05.09.2016</t>
  </si>
  <si>
    <t>Департамент финансов мэрии г.Ярославля</t>
  </si>
  <si>
    <t xml:space="preserve">Договор на кредиты № 02-2-08/13-27 от 05.12.2013 </t>
  </si>
  <si>
    <t xml:space="preserve">Договор на кредиты № 02-2-08/14-28 от 25.12.2014 </t>
  </si>
  <si>
    <t>14.12.2017</t>
  </si>
  <si>
    <t xml:space="preserve">Договор на кредиты № 02-2-08/15-20 от 18.12.2015 </t>
  </si>
  <si>
    <t>28.10.2016</t>
  </si>
  <si>
    <t xml:space="preserve">Договор на кредиты № 02-2-08/13-14 от 01.07.2013 </t>
  </si>
  <si>
    <t xml:space="preserve">Договор на кредиты № 02-2-08/13-24 от 08.11.2013 </t>
  </si>
  <si>
    <t>04.11.2016</t>
  </si>
  <si>
    <t xml:space="preserve">Договор на кредиты № 02-2-08/14-12 от 15.07.2014 </t>
  </si>
  <si>
    <t>14.07.2017</t>
  </si>
  <si>
    <t xml:space="preserve">Договор на кредиты № 02-2-08/15-17 от 14.12.2015 </t>
  </si>
  <si>
    <t>Отдел финансов Администрации Первомайского муниципального района</t>
  </si>
  <si>
    <t xml:space="preserve">Договор на кредиты № 2-16д от 01.11.2013 </t>
  </si>
  <si>
    <t>15.12.2021</t>
  </si>
  <si>
    <t xml:space="preserve">Договор на кредиты № 1-16д от 01.11.2013 </t>
  </si>
  <si>
    <t xml:space="preserve">Договор на кредиты № 02-2-08/12-14 от 16.11.2012 </t>
  </si>
  <si>
    <t>14.08.2015</t>
  </si>
  <si>
    <t xml:space="preserve">Договор на кредиты № 02-2-08/13-09 от 17.06.2013 </t>
  </si>
  <si>
    <t xml:space="preserve">Договор на кредиты № 02-2-08/14-15 от 12.08.2014 </t>
  </si>
  <si>
    <t xml:space="preserve">Договор на кредиты № 02-2-08/14-26 от 23.12.2014 </t>
  </si>
  <si>
    <t>22.12.2017</t>
  </si>
  <si>
    <t xml:space="preserve">Договор на кредиты № 1-08/отср от 01.01.2000 </t>
  </si>
  <si>
    <t>01.12.2018</t>
  </si>
  <si>
    <t xml:space="preserve">Договор на кредиты № 1-08д от 25.11.2014 </t>
  </si>
  <si>
    <t xml:space="preserve">Договор на кредиты № 2-08/отср от 01.01.2000 </t>
  </si>
  <si>
    <t xml:space="preserve">Договор на кредиты № 2-08д от 25.11.2014 </t>
  </si>
  <si>
    <t xml:space="preserve">Договор на кредиты № 02-2-08/15-19 от 14.12.2015 </t>
  </si>
  <si>
    <t xml:space="preserve">Договор на кредиты № 2-18/отср от 01.01.2000 </t>
  </si>
  <si>
    <t xml:space="preserve">Договор на кредиты № 2-18д от 25.11.2014 </t>
  </si>
  <si>
    <t>15.12.2022</t>
  </si>
  <si>
    <t xml:space="preserve">Договор на кредиты № 1-18/отср от 01.01.2000 </t>
  </si>
  <si>
    <t xml:space="preserve">Договор на кредиты № 1-18д от 25.11.2014 </t>
  </si>
  <si>
    <t>Управление финансов администрации Брейтовского муниципального района</t>
  </si>
  <si>
    <t xml:space="preserve">Договор на кредиты № 1-09д от 01.11.2012 </t>
  </si>
  <si>
    <t>15.12.2017</t>
  </si>
  <si>
    <t xml:space="preserve">Договор на кредиты № 2-10д от 01.11.2012 </t>
  </si>
  <si>
    <t>15.12.2018</t>
  </si>
  <si>
    <t xml:space="preserve">Договор на кредиты № 1-10д от 01.11.2012 </t>
  </si>
  <si>
    <t>Управление финансов администрации Любимского муниципального района</t>
  </si>
  <si>
    <t xml:space="preserve">Договор на кредиты № 02-2-08/12-08 от 23.08.2012 </t>
  </si>
  <si>
    <t>25.06.2015</t>
  </si>
  <si>
    <t xml:space="preserve">Договор на кредиты № 02-2-08/14-13 от 29.07.2014 </t>
  </si>
  <si>
    <t>15.07.2015</t>
  </si>
  <si>
    <t xml:space="preserve">Договор на кредиты № 1-12д от 24.08.2009 </t>
  </si>
  <si>
    <t>15.12.2020</t>
  </si>
  <si>
    <t xml:space="preserve">Договор на кредиты № 2-12д от 24.08.2009 </t>
  </si>
  <si>
    <t xml:space="preserve">Договор на кредиты № 2-14д от 01.05.2010 </t>
  </si>
  <si>
    <t>15.12.2015</t>
  </si>
  <si>
    <t>Управление финансов Администрации Ростовского муниципального района</t>
  </si>
  <si>
    <t xml:space="preserve">Договор на кредиты № 02-2-08/13-15 от 05.07.2013 </t>
  </si>
  <si>
    <t xml:space="preserve">Договор на кредиты № 02-2-08/14-22 от 06.11.2014 </t>
  </si>
  <si>
    <t>03.11.2017</t>
  </si>
  <si>
    <t xml:space="preserve">Договор на кредиты № 1-03д от 01.11.2013 </t>
  </si>
  <si>
    <t xml:space="preserve">Договор на кредиты № 2-03д от 01.11.2013 </t>
  </si>
  <si>
    <t xml:space="preserve">Договор на кредиты № 3-03д от 01.11.2013 </t>
  </si>
  <si>
    <t xml:space="preserve">Договор на кредиты № 02-2-08/15-05 от 22.05.2015 </t>
  </si>
  <si>
    <t>12.05.2016</t>
  </si>
  <si>
    <t>На поддержание платежеспособности бюджетов муниципальных образований области</t>
  </si>
  <si>
    <t xml:space="preserve">Договор на кредиты № 02-2-08/15-12 от 28.08.2015 </t>
  </si>
  <si>
    <t xml:space="preserve">Договор на кредиты № 02-2-08/13-25 от 05.12.2013 </t>
  </si>
  <si>
    <t>29.11.2016</t>
  </si>
  <si>
    <t xml:space="preserve">Договор на кредиты № 02-2-08/14-08 от 06.06.2014 </t>
  </si>
  <si>
    <t>02.06.2017</t>
  </si>
  <si>
    <t xml:space="preserve">Договор на кредиты № 02-2-08/14-17 от 22.08.2014 </t>
  </si>
  <si>
    <t>18.08.2017</t>
  </si>
  <si>
    <t xml:space="preserve">Договор на кредиты № 02-2-08/14-19 от 17.09.2014 </t>
  </si>
  <si>
    <t>15.09.2017</t>
  </si>
  <si>
    <t xml:space="preserve">Договор на кредиты № 02-2-08/14-25 от 14.11.2014 </t>
  </si>
  <si>
    <t>10.11.2017</t>
  </si>
  <si>
    <t xml:space="preserve">Договор на кредиты № 02-2-08/12-19 от 24.12.2012 </t>
  </si>
  <si>
    <t xml:space="preserve">Договор на кредиты № 02-2-08/12-20 от 26.12.2012 </t>
  </si>
  <si>
    <t xml:space="preserve">Договор на кредиты № 02-2-08/15-14 от 28.10.2015 </t>
  </si>
  <si>
    <t>27.10.2016</t>
  </si>
  <si>
    <t>Управление финансов администрации Ярославского муниципального района</t>
  </si>
  <si>
    <t xml:space="preserve">Договор на кредиты № 02-2-08/13-26 от 05.12.2013 </t>
  </si>
  <si>
    <t xml:space="preserve">Договор на кредиты № 02-2-08/14-03 от 27.05.2014 </t>
  </si>
  <si>
    <t>26.05.2017</t>
  </si>
  <si>
    <t xml:space="preserve">Договор на кредиты № 02-2-08/14-21 от 06.11.2014 </t>
  </si>
  <si>
    <t>20.10.2015</t>
  </si>
  <si>
    <t xml:space="preserve">Договор на кредиты № 1-19д от 01.11.2011 </t>
  </si>
  <si>
    <t xml:space="preserve">Договор на кредиты № 2-19д от 01.11.2011 </t>
  </si>
  <si>
    <t>Управление финансов и экономики Администрации городского поселения Данилов</t>
  </si>
  <si>
    <t xml:space="preserve">Договор на кредиты № 02-2-08/13-23 от 11.11.2013 </t>
  </si>
  <si>
    <t>10.11.2016</t>
  </si>
  <si>
    <t xml:space="preserve">Договор на кредиты № 02-2-08/15-21 от 14.12.2015 </t>
  </si>
  <si>
    <t xml:space="preserve">Договор на кредиты № 02-2-08/12-10 от 02.10.2012 </t>
  </si>
  <si>
    <t>01.10.2015</t>
  </si>
  <si>
    <t xml:space="preserve">Договор на кредиты № 02-2-08/13-13 от 01.07.2013 </t>
  </si>
  <si>
    <t>29.05.2016</t>
  </si>
  <si>
    <t xml:space="preserve">Договор на кредиты № 02-2-08/13-19 от 15.08.2013 </t>
  </si>
  <si>
    <t>12.08.2016</t>
  </si>
  <si>
    <t xml:space="preserve">Договор на кредиты № 02-2-08/14-11 от 22.07.2014 </t>
  </si>
  <si>
    <t xml:space="preserve">Договор на кредиты № 02-2-08/12-18 от 24.12.2012 </t>
  </si>
  <si>
    <t>10.12.2015</t>
  </si>
  <si>
    <t xml:space="preserve">Договор на кредиты № 1-13д от 01.11.2011 </t>
  </si>
  <si>
    <t xml:space="preserve">Договор на кредиты № 2-13д от 01.11.2011 </t>
  </si>
  <si>
    <t xml:space="preserve">Договор на кредиты № 02-2-08/15-03 от 22.05.2015 </t>
  </si>
  <si>
    <t xml:space="preserve">Договор на кредиты № 02-2-08/14-24 от 26.11.2014 </t>
  </si>
  <si>
    <t>06.11.2015</t>
  </si>
  <si>
    <t xml:space="preserve">Договор на кредиты № 02-2-08/12-17 от 24.12.2012 </t>
  </si>
  <si>
    <t xml:space="preserve">Договор на кредиты № 02-2-08/13-30 от 23.12.2013 </t>
  </si>
  <si>
    <t>22.11.2016</t>
  </si>
  <si>
    <t xml:space="preserve">Договор на кредиты № 02-2-08/14-02 от 14.05.2014 </t>
  </si>
  <si>
    <t>12.05.2017</t>
  </si>
  <si>
    <t xml:space="preserve">Договор на кредиты № 02-2-08/14-27 от 25.12.2014 </t>
  </si>
  <si>
    <t xml:space="preserve">Договор на кредиты № 02-2-08/15-04 от 22.05.2015 </t>
  </si>
  <si>
    <t xml:space="preserve">Договор на кредиты № 02-2-08/15-08 от 22.07.2015 </t>
  </si>
  <si>
    <t>28.06.2016</t>
  </si>
  <si>
    <t xml:space="preserve">Договор на кредиты № 02-2-08/15-25 от 25.12.2015 </t>
  </si>
  <si>
    <t>22.12.2016</t>
  </si>
  <si>
    <t>Финансовое управление администрации Даниловского муниципального района</t>
  </si>
  <si>
    <t xml:space="preserve">Договор на кредиты № 02-2-08/14-23 от 06.11.2014 </t>
  </si>
  <si>
    <t xml:space="preserve">Договор на кредиты № 1-11д от 01.05.2010 </t>
  </si>
  <si>
    <t xml:space="preserve">Договор на кредиты № 2-11д от 01.05.2010 </t>
  </si>
  <si>
    <t xml:space="preserve">Итого </t>
  </si>
  <si>
    <t>Администрация Воскресенского сельского поселения</t>
  </si>
  <si>
    <t>На выплату заработной платы в размере 887 000 рублей и на погашение просроченной кредиторской задолженности в размере 395 000 рублей</t>
  </si>
  <si>
    <t>На выплату заработной платы в размере 1 605 000 рублей и на погашение просроченной кредиторской задолженности в размере 3 395 000 рублей</t>
  </si>
  <si>
    <t>Итого</t>
  </si>
  <si>
    <t>На софинансирование региональной программы "Стимулирование жилищного строительства на территории Ярославской области"</t>
  </si>
  <si>
    <t>На софинансирование субсидии на частичную компенсацию расходов, связанных с выполнением полномочий органами местного самоуправления муниципальных образований по теплоснабжению - 3 254 000 рублей;
на завершение расчетов по муниципальной целевой программе</t>
  </si>
  <si>
    <t xml:space="preserve">Администрация городского поселения Любим </t>
  </si>
  <si>
    <t>Администрация городского поселения Ростов</t>
  </si>
  <si>
    <t>На софинансирование программы по переселению граждан из аварийного жилищного фонда; на празднование 1150-летия Ростова</t>
  </si>
  <si>
    <t>На покрытие временного кассового разрыва</t>
  </si>
  <si>
    <t>Администрация Ивняковского сельского поселения</t>
  </si>
  <si>
    <t>Администрация Некрасовского сельского поселения</t>
  </si>
  <si>
    <t>Администрация сельского поселения Некрасовское</t>
  </si>
  <si>
    <t>Департамент финансов Администрации Тутаевского муниципального района</t>
  </si>
  <si>
    <t>Централизованный кредит</t>
  </si>
  <si>
    <t>Департамент финансов Администрации городского округа г.Рыбинск</t>
  </si>
  <si>
    <t>На частичную компенсацию расходов, связанных с выполнением полномочий органов местного самоуправления муниципальных образований области по теплоснабжению для муниципального унитарного предприятия  "Теплоэнерго"</t>
  </si>
  <si>
    <t>На погашение кредиторской задолженности</t>
  </si>
  <si>
    <t>Муниципальное учреждение "Администрация городского поселения Мышкин"</t>
  </si>
  <si>
    <t>На финансирование целевых расходов по благоустройству</t>
  </si>
  <si>
    <t>На финансирование программ, в том числе: "Развитие физической культуры и спорта в Мышкинском муниципальном районе" – 550 000 рублей; "Муниципальная целевая программа жилищного строительства в Мышкинском муниципальном районе на 2011 – 2015 годы" – 600 000 рублей</t>
  </si>
  <si>
    <t>На выплату заработной платы и начислений на выплаты по оплате труда работникам бюджетной сферы и органов местного самоуправления района</t>
  </si>
  <si>
    <t>На компенсацию убытков, возникающих у МУП "Борисоглебское АТП"</t>
  </si>
  <si>
    <t>Управление финансов администрации Борисоглебского муниципального района</t>
  </si>
  <si>
    <t>Управление финансов администрации Пошехонского муниципального района</t>
  </si>
  <si>
    <t xml:space="preserve">Централизованный кредит </t>
  </si>
  <si>
    <t>Управление финансов администрации Гаврилов-Ямского муниципального района</t>
  </si>
  <si>
    <t>На финансирование целевых расходов для монтажа газового котла на центральной котельной г. Любима</t>
  </si>
  <si>
    <t>Управление финансов администрации Некоузского муниципального района</t>
  </si>
  <si>
    <t xml:space="preserve">На подготовку учреждений образования к новому учебному году и отопительному сезону 2013 – 2014 годов – 26 100 000 рублей; 
- на ремонт и содержание детского сада в поселке Лесном – 3 900 000 рублей
</t>
  </si>
  <si>
    <t>Управление финансов администрации Угличского муниципального района</t>
  </si>
  <si>
    <t>На оплату исполнительных листов по вступившим в силу судебным актам</t>
  </si>
  <si>
    <t>На выплату заработной платы</t>
  </si>
  <si>
    <t>На повышение заработной платы работникам бюджетной сферы</t>
  </si>
  <si>
    <t>Управление экономики и финансов администрации Мышкинского муниципального района</t>
  </si>
  <si>
    <t>На выполнение работ по поквартирному дымоотведению и воздухозабору для индивидуальных газовых котлов в рамках районной целевой программы "Жилищное строительство в Мышкинском муниципальном районе на 2011 - 2015 годы"</t>
  </si>
  <si>
    <t>На содержание бюджетных учреждений района</t>
  </si>
  <si>
    <t>На завершение строительных работ по вводу в эксплуатацию детского сада № 1 в г. Мышкине и приобретение основных средств и материалов для его функционирования</t>
  </si>
  <si>
    <t>Управление экономики и финансов администрации Рыбинского муниципального района</t>
  </si>
  <si>
    <t>На погашение кредиторской задолженности перед открытым акционерным обществом "Домостроительный комбинат", возникшей по региональной программе "Стимулирование развития жилищного строительства на территории Ярославской области" на 2011-2015 годы в части подпрограммы "Переселение граждан из жилищного фонда, признанного непригодным для проживания, и (или) с высоким уровнем износа"</t>
  </si>
  <si>
    <t>На реализацию областных целевых программ "Переселение граждан из аварийного жилищного фонда" в размере 13 300 000 рублей и "Комплексный инвестиционный план модернизации городского поселения Ростов" на 2010 – 2015 годы в размере 6 700 000 рублей, а также на разработку проектно-сметной документации для строительства магистрального канализационного коллектора в размере 5 000 000 рублей</t>
  </si>
  <si>
    <t xml:space="preserve">На погашение кредиторской задолженности – 3 617 000 рублей;
на софинансирование муниципальной целевой программы "Обеспечение жильем молодых семей городского поселения Гаврилов-Ям на 2011-2013 годы" –
1 383 000 рублей
</t>
  </si>
  <si>
    <t>На погашение кредиторской задолженности по оплате коммунальных услуг учреждениями бюджетной сферы - 7 090 000 рублей, просроченной кредиторской задолженности по исполнительным листам - 
11 212 000 рублей</t>
  </si>
  <si>
    <t>На финансирование программ:
"Комплексная программа модернизации и реформирования жилищно-коммунального хозяйства Ярославского муниципального района" на 2011-2014 годы - 
1 950 000 рублей;
"Сохранность муниципальных автомобильных дорог на территории Ярославского муниципального района" в 2011-2014 годах - 3 930 000 рублей</t>
  </si>
  <si>
    <t>Управление финансов Администрации г.о. Переславля-Залесского</t>
  </si>
  <si>
    <t xml:space="preserve">На выплату заработной платы – 22 000 000 рублей;
на уплату налога на имущество организаций – 
4 000 000 рублей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</si>
</sst>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indexed="64"/>
      <name val="Arial"/>
      <charset val="1"/>
    </font>
    <font>
      <b/>
      <sz val="10"/>
      <color indexed="8"/>
      <name val="Tahoma"/>
      <charset val="1"/>
    </font>
    <font>
      <sz val="8"/>
      <color indexed="8"/>
      <name val="Tahoma"/>
      <family val="2"/>
      <charset val="204"/>
    </font>
    <font>
      <sz val="6"/>
      <color indexed="8"/>
      <name val="Tahoma"/>
      <family val="2"/>
      <charset val="204"/>
    </font>
    <font>
      <b/>
      <sz val="7"/>
      <color indexed="8"/>
      <name val="Tahoma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Tahoma"/>
      <family val="2"/>
      <charset val="204"/>
    </font>
    <font>
      <b/>
      <sz val="7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NumberFormat="1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7" fillId="2" borderId="1" xfId="0" applyNumberFormat="1" applyFont="1" applyFill="1" applyBorder="1" applyAlignment="1">
      <alignment horizontal="right" vertical="top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left" vertical="center" wrapText="1"/>
    </xf>
    <xf numFmtId="0" fontId="4" fillId="3" borderId="3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F175"/>
  <sheetViews>
    <sheetView tabSelected="1" view="pageBreakPreview" topLeftCell="A150" zoomScaleNormal="100" zoomScaleSheetLayoutView="100" workbookViewId="0">
      <selection activeCell="M163" sqref="M163:U163"/>
    </sheetView>
  </sheetViews>
  <sheetFormatPr defaultRowHeight="12.75" x14ac:dyDescent="0.2"/>
  <cols>
    <col min="1" max="1" width="4.7109375" style="1" customWidth="1"/>
    <col min="2" max="2" width="8.85546875" style="1" customWidth="1"/>
    <col min="3" max="3" width="2.7109375" style="1" customWidth="1"/>
    <col min="4" max="4" width="6.7109375" style="1" customWidth="1"/>
    <col min="5" max="5" width="0.140625" style="1" customWidth="1"/>
    <col min="6" max="6" width="6.7109375" style="1" customWidth="1"/>
    <col min="7" max="7" width="0.140625" style="1" hidden="1" customWidth="1"/>
    <col min="8" max="8" width="6.28515625" style="1" customWidth="1"/>
    <col min="9" max="9" width="0.7109375" style="1" customWidth="1"/>
    <col min="10" max="10" width="1.7109375" style="1" customWidth="1"/>
    <col min="11" max="11" width="3.7109375" style="1" customWidth="1"/>
    <col min="12" max="12" width="3.42578125" style="1" customWidth="1"/>
    <col min="13" max="13" width="3.7109375" style="1" customWidth="1"/>
    <col min="14" max="14" width="0.140625" style="1" customWidth="1"/>
    <col min="15" max="15" width="8.7109375" style="1" customWidth="1"/>
    <col min="16" max="16" width="3.7109375" style="1" customWidth="1"/>
    <col min="17" max="17" width="0.140625" style="1" customWidth="1"/>
    <col min="18" max="18" width="2.7109375" style="1" customWidth="1"/>
    <col min="19" max="20" width="0.140625" style="1" customWidth="1"/>
    <col min="21" max="21" width="2.7109375" style="1" customWidth="1"/>
    <col min="22" max="22" width="14.7109375" style="1" customWidth="1"/>
    <col min="23" max="23" width="2.7109375" style="1" customWidth="1"/>
    <col min="24" max="26" width="0.140625" style="1" customWidth="1"/>
    <col min="27" max="27" width="5.85546875" style="1" customWidth="1"/>
    <col min="28" max="28" width="2" style="1" customWidth="1"/>
    <col min="29" max="30" width="13.140625" style="1" customWidth="1"/>
    <col min="31" max="31" width="14.7109375" style="1" customWidth="1"/>
    <col min="32" max="32" width="9.7109375" style="1" customWidth="1"/>
  </cols>
  <sheetData>
    <row r="1" spans="1:32" s="1" customFormat="1" ht="15.9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s="1" customFormat="1" ht="29.1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s="1" customFormat="1" ht="30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0" t="s">
        <v>3</v>
      </c>
      <c r="AC3" s="10"/>
      <c r="AD3" s="10"/>
      <c r="AE3" s="10"/>
      <c r="AF3" s="10"/>
    </row>
    <row r="4" spans="1:32" s="1" customFormat="1" ht="18.95" customHeight="1" x14ac:dyDescent="0.2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spans="1:32" s="1" customFormat="1" ht="14.1" customHeight="1" x14ac:dyDescent="0.2">
      <c r="A5" s="13" t="s">
        <v>4</v>
      </c>
      <c r="B5" s="13" t="s">
        <v>5</v>
      </c>
      <c r="C5" s="13"/>
      <c r="D5" s="13"/>
      <c r="E5" s="13"/>
      <c r="F5" s="13"/>
      <c r="G5" s="13"/>
      <c r="H5" s="13"/>
      <c r="I5" s="13"/>
      <c r="J5" s="13" t="s">
        <v>6</v>
      </c>
      <c r="K5" s="13"/>
      <c r="L5" s="13"/>
      <c r="M5" s="13" t="s">
        <v>7</v>
      </c>
      <c r="N5" s="13"/>
      <c r="O5" s="13"/>
      <c r="P5" s="13"/>
      <c r="Q5" s="13"/>
      <c r="R5" s="13"/>
      <c r="S5" s="13"/>
      <c r="T5" s="13"/>
      <c r="U5" s="13"/>
      <c r="V5" s="13" t="s">
        <v>8</v>
      </c>
      <c r="W5" s="13"/>
      <c r="X5" s="13"/>
      <c r="Y5" s="13"/>
      <c r="Z5" s="13"/>
      <c r="AA5" s="13"/>
      <c r="AB5" s="13"/>
      <c r="AC5" s="13" t="s">
        <v>11</v>
      </c>
      <c r="AD5" s="13"/>
      <c r="AE5" s="13" t="s">
        <v>12</v>
      </c>
      <c r="AF5" s="13"/>
    </row>
    <row r="6" spans="1:3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2" t="s">
        <v>9</v>
      </c>
      <c r="W6" s="13" t="s">
        <v>10</v>
      </c>
      <c r="X6" s="13"/>
      <c r="Y6" s="13"/>
      <c r="Z6" s="13"/>
      <c r="AA6" s="13"/>
      <c r="AB6" s="13"/>
      <c r="AC6" s="2" t="s">
        <v>9</v>
      </c>
      <c r="AD6" s="2" t="s">
        <v>10</v>
      </c>
      <c r="AE6" s="2" t="s">
        <v>9</v>
      </c>
      <c r="AF6" s="2" t="s">
        <v>10</v>
      </c>
    </row>
    <row r="7" spans="1:32" s="1" customFormat="1" x14ac:dyDescent="0.2">
      <c r="A7" s="8" t="s">
        <v>13</v>
      </c>
      <c r="B7" s="14" t="s">
        <v>14</v>
      </c>
      <c r="C7" s="14"/>
      <c r="D7" s="14"/>
      <c r="E7" s="14"/>
      <c r="F7" s="14"/>
      <c r="G7" s="14"/>
      <c r="H7" s="14"/>
      <c r="I7" s="14"/>
      <c r="J7" s="14" t="s">
        <v>15</v>
      </c>
      <c r="K7" s="14"/>
      <c r="L7" s="14"/>
      <c r="M7" s="14" t="s">
        <v>16</v>
      </c>
      <c r="N7" s="14"/>
      <c r="O7" s="14"/>
      <c r="P7" s="14"/>
      <c r="Q7" s="14"/>
      <c r="R7" s="14"/>
      <c r="S7" s="14"/>
      <c r="T7" s="14"/>
      <c r="U7" s="14"/>
      <c r="V7" s="8" t="s">
        <v>17</v>
      </c>
      <c r="W7" s="14" t="s">
        <v>18</v>
      </c>
      <c r="X7" s="14"/>
      <c r="Y7" s="14"/>
      <c r="Z7" s="14"/>
      <c r="AA7" s="14"/>
      <c r="AB7" s="14"/>
      <c r="AC7" s="8" t="s">
        <v>19</v>
      </c>
      <c r="AD7" s="8" t="s">
        <v>20</v>
      </c>
      <c r="AE7" s="8" t="s">
        <v>21</v>
      </c>
      <c r="AF7" s="8" t="s">
        <v>22</v>
      </c>
    </row>
    <row r="8" spans="1:32" s="1" customFormat="1" ht="12.95" customHeight="1" x14ac:dyDescent="0.2">
      <c r="A8" s="15" t="s">
        <v>23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7"/>
    </row>
    <row r="9" spans="1:32" s="1" customFormat="1" ht="22.5" customHeight="1" x14ac:dyDescent="0.2">
      <c r="A9" s="7" t="s">
        <v>13</v>
      </c>
      <c r="B9" s="18" t="s">
        <v>24</v>
      </c>
      <c r="C9" s="18"/>
      <c r="D9" s="18"/>
      <c r="E9" s="18"/>
      <c r="F9" s="18"/>
      <c r="G9" s="18"/>
      <c r="H9" s="18"/>
      <c r="I9" s="18"/>
      <c r="J9" s="18" t="s">
        <v>25</v>
      </c>
      <c r="K9" s="18"/>
      <c r="L9" s="18"/>
      <c r="M9" s="18" t="s">
        <v>26</v>
      </c>
      <c r="N9" s="18"/>
      <c r="O9" s="18"/>
      <c r="P9" s="18"/>
      <c r="Q9" s="18"/>
      <c r="R9" s="18"/>
      <c r="S9" s="18"/>
      <c r="T9" s="18"/>
      <c r="U9" s="18"/>
      <c r="V9" s="3" t="s">
        <v>3</v>
      </c>
      <c r="W9" s="19" t="s">
        <v>3</v>
      </c>
      <c r="X9" s="19"/>
      <c r="Y9" s="19"/>
      <c r="Z9" s="19"/>
      <c r="AA9" s="19"/>
      <c r="AB9" s="19"/>
      <c r="AC9" s="4">
        <f>2700000</f>
        <v>2700000</v>
      </c>
      <c r="AD9" s="3" t="s">
        <v>3</v>
      </c>
      <c r="AE9" s="4">
        <f>2700000</f>
        <v>2700000</v>
      </c>
      <c r="AF9" s="3" t="s">
        <v>3</v>
      </c>
    </row>
    <row r="10" spans="1:32" s="1" customFormat="1" ht="12.95" customHeight="1" x14ac:dyDescent="0.2">
      <c r="A10" s="15" t="s">
        <v>218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7"/>
    </row>
    <row r="11" spans="1:32" s="1" customFormat="1" ht="65.25" customHeight="1" x14ac:dyDescent="0.2">
      <c r="A11" s="7" t="s">
        <v>13</v>
      </c>
      <c r="B11" s="18" t="s">
        <v>27</v>
      </c>
      <c r="C11" s="18"/>
      <c r="D11" s="18"/>
      <c r="E11" s="18"/>
      <c r="F11" s="18"/>
      <c r="G11" s="18"/>
      <c r="H11" s="18"/>
      <c r="I11" s="18"/>
      <c r="J11" s="18" t="s">
        <v>28</v>
      </c>
      <c r="K11" s="18"/>
      <c r="L11" s="18"/>
      <c r="M11" s="21" t="s">
        <v>219</v>
      </c>
      <c r="N11" s="18"/>
      <c r="O11" s="18"/>
      <c r="P11" s="18"/>
      <c r="Q11" s="18"/>
      <c r="R11" s="18"/>
      <c r="S11" s="18"/>
      <c r="T11" s="18"/>
      <c r="U11" s="18"/>
      <c r="V11" s="4">
        <f>1121750</f>
        <v>1121750</v>
      </c>
      <c r="W11" s="19" t="s">
        <v>3</v>
      </c>
      <c r="X11" s="19"/>
      <c r="Y11" s="19"/>
      <c r="Z11" s="19"/>
      <c r="AA11" s="19"/>
      <c r="AB11" s="19"/>
      <c r="AC11" s="3" t="s">
        <v>3</v>
      </c>
      <c r="AD11" s="4">
        <f>641000</f>
        <v>641000</v>
      </c>
      <c r="AE11" s="4">
        <f>480750</f>
        <v>480750</v>
      </c>
      <c r="AF11" s="3" t="s">
        <v>3</v>
      </c>
    </row>
    <row r="12" spans="1:32" s="1" customFormat="1" ht="12.95" customHeight="1" x14ac:dyDescent="0.2">
      <c r="A12" s="20" t="s">
        <v>29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spans="1:32" s="1" customFormat="1" ht="66.75" customHeight="1" x14ac:dyDescent="0.2">
      <c r="A13" s="7" t="s">
        <v>13</v>
      </c>
      <c r="B13" s="18" t="s">
        <v>30</v>
      </c>
      <c r="C13" s="18"/>
      <c r="D13" s="18"/>
      <c r="E13" s="18"/>
      <c r="F13" s="18"/>
      <c r="G13" s="18"/>
      <c r="H13" s="18"/>
      <c r="I13" s="18"/>
      <c r="J13" s="18" t="s">
        <v>28</v>
      </c>
      <c r="K13" s="18"/>
      <c r="L13" s="18"/>
      <c r="M13" s="21" t="s">
        <v>220</v>
      </c>
      <c r="N13" s="18"/>
      <c r="O13" s="18"/>
      <c r="P13" s="18"/>
      <c r="Q13" s="18"/>
      <c r="R13" s="18"/>
      <c r="S13" s="18"/>
      <c r="T13" s="18"/>
      <c r="U13" s="18"/>
      <c r="V13" s="4">
        <f>4375000</f>
        <v>4375000</v>
      </c>
      <c r="W13" s="19" t="s">
        <v>3</v>
      </c>
      <c r="X13" s="19"/>
      <c r="Y13" s="19"/>
      <c r="Z13" s="19"/>
      <c r="AA13" s="19"/>
      <c r="AB13" s="19"/>
      <c r="AC13" s="3" t="s">
        <v>3</v>
      </c>
      <c r="AD13" s="4">
        <f>2500000</f>
        <v>2500000</v>
      </c>
      <c r="AE13" s="4">
        <f>1875000</f>
        <v>1875000</v>
      </c>
      <c r="AF13" s="3" t="s">
        <v>3</v>
      </c>
    </row>
    <row r="14" spans="1:32" s="1" customFormat="1" ht="120" customHeight="1" x14ac:dyDescent="0.2">
      <c r="A14" s="7" t="s">
        <v>14</v>
      </c>
      <c r="B14" s="18" t="s">
        <v>31</v>
      </c>
      <c r="C14" s="18"/>
      <c r="D14" s="18"/>
      <c r="E14" s="18"/>
      <c r="F14" s="18"/>
      <c r="G14" s="18"/>
      <c r="H14" s="18"/>
      <c r="I14" s="18"/>
      <c r="J14" s="18" t="s">
        <v>32</v>
      </c>
      <c r="K14" s="18"/>
      <c r="L14" s="18"/>
      <c r="M14" s="18" t="s">
        <v>259</v>
      </c>
      <c r="N14" s="18"/>
      <c r="O14" s="18"/>
      <c r="P14" s="18"/>
      <c r="Q14" s="18"/>
      <c r="R14" s="18"/>
      <c r="S14" s="18"/>
      <c r="T14" s="18"/>
      <c r="U14" s="18"/>
      <c r="V14" s="4">
        <f>5000000</f>
        <v>5000000</v>
      </c>
      <c r="W14" s="19" t="s">
        <v>3</v>
      </c>
      <c r="X14" s="19"/>
      <c r="Y14" s="19"/>
      <c r="Z14" s="19"/>
      <c r="AA14" s="19"/>
      <c r="AB14" s="19"/>
      <c r="AC14" s="3" t="s">
        <v>3</v>
      </c>
      <c r="AD14" s="4">
        <f>2500000</f>
        <v>2500000</v>
      </c>
      <c r="AE14" s="4">
        <f>2500000</f>
        <v>2500000</v>
      </c>
      <c r="AF14" s="3" t="s">
        <v>3</v>
      </c>
    </row>
    <row r="15" spans="1:32" s="1" customFormat="1" ht="26.25" customHeight="1" x14ac:dyDescent="0.2">
      <c r="A15" s="7" t="s">
        <v>15</v>
      </c>
      <c r="B15" s="18" t="s">
        <v>33</v>
      </c>
      <c r="C15" s="18"/>
      <c r="D15" s="18"/>
      <c r="E15" s="18"/>
      <c r="F15" s="18"/>
      <c r="G15" s="18"/>
      <c r="H15" s="18"/>
      <c r="I15" s="18"/>
      <c r="J15" s="18" t="s">
        <v>34</v>
      </c>
      <c r="K15" s="18"/>
      <c r="L15" s="18"/>
      <c r="M15" s="18" t="s">
        <v>26</v>
      </c>
      <c r="N15" s="18"/>
      <c r="O15" s="18"/>
      <c r="P15" s="18"/>
      <c r="Q15" s="18"/>
      <c r="R15" s="18"/>
      <c r="S15" s="18"/>
      <c r="T15" s="18"/>
      <c r="U15" s="18"/>
      <c r="V15" s="4">
        <f>4000000</f>
        <v>4000000</v>
      </c>
      <c r="W15" s="19" t="s">
        <v>3</v>
      </c>
      <c r="X15" s="19"/>
      <c r="Y15" s="19"/>
      <c r="Z15" s="19"/>
      <c r="AA15" s="19"/>
      <c r="AB15" s="19"/>
      <c r="AC15" s="4">
        <f>162739.73</f>
        <v>162739.73000000001</v>
      </c>
      <c r="AD15" s="4">
        <f>662739.73</f>
        <v>662739.73</v>
      </c>
      <c r="AE15" s="4">
        <f>3500000</f>
        <v>3500000</v>
      </c>
      <c r="AF15" s="3" t="s">
        <v>3</v>
      </c>
    </row>
    <row r="16" spans="1:32" s="1" customFormat="1" ht="12" customHeight="1" x14ac:dyDescent="0.2">
      <c r="A16" s="23" t="s">
        <v>221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6">
        <f>13375000</f>
        <v>13375000</v>
      </c>
      <c r="W16" s="22" t="s">
        <v>3</v>
      </c>
      <c r="X16" s="22"/>
      <c r="Y16" s="22"/>
      <c r="Z16" s="22"/>
      <c r="AA16" s="22"/>
      <c r="AB16" s="22"/>
      <c r="AC16" s="6">
        <f>162739.73</f>
        <v>162739.73000000001</v>
      </c>
      <c r="AD16" s="6">
        <f>5662739.73</f>
        <v>5662739.7300000004</v>
      </c>
      <c r="AE16" s="6">
        <f>7875000</f>
        <v>7875000</v>
      </c>
      <c r="AF16" s="5" t="s">
        <v>3</v>
      </c>
    </row>
    <row r="17" spans="1:32" s="1" customFormat="1" ht="12.95" customHeight="1" x14ac:dyDescent="0.2">
      <c r="A17" s="20" t="s">
        <v>35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</row>
    <row r="18" spans="1:32" s="1" customFormat="1" ht="63.75" customHeight="1" x14ac:dyDescent="0.2">
      <c r="A18" s="7" t="s">
        <v>13</v>
      </c>
      <c r="B18" s="18" t="s">
        <v>36</v>
      </c>
      <c r="C18" s="18"/>
      <c r="D18" s="18"/>
      <c r="E18" s="18"/>
      <c r="F18" s="18"/>
      <c r="G18" s="18"/>
      <c r="H18" s="18"/>
      <c r="I18" s="18"/>
      <c r="J18" s="18" t="s">
        <v>37</v>
      </c>
      <c r="K18" s="18"/>
      <c r="L18" s="18"/>
      <c r="M18" s="21" t="s">
        <v>222</v>
      </c>
      <c r="N18" s="18"/>
      <c r="O18" s="18"/>
      <c r="P18" s="18"/>
      <c r="Q18" s="18"/>
      <c r="R18" s="18"/>
      <c r="S18" s="18"/>
      <c r="T18" s="18"/>
      <c r="U18" s="18"/>
      <c r="V18" s="4">
        <f>2200000</f>
        <v>2200000</v>
      </c>
      <c r="W18" s="19" t="s">
        <v>3</v>
      </c>
      <c r="X18" s="19"/>
      <c r="Y18" s="19"/>
      <c r="Z18" s="19"/>
      <c r="AA18" s="19"/>
      <c r="AB18" s="19"/>
      <c r="AC18" s="3" t="s">
        <v>3</v>
      </c>
      <c r="AD18" s="4">
        <f>1100000</f>
        <v>1100000</v>
      </c>
      <c r="AE18" s="4">
        <f>1100000</f>
        <v>1100000</v>
      </c>
      <c r="AF18" s="3" t="s">
        <v>3</v>
      </c>
    </row>
    <row r="19" spans="1:32" s="1" customFormat="1" ht="27" customHeight="1" x14ac:dyDescent="0.2">
      <c r="A19" s="7" t="s">
        <v>14</v>
      </c>
      <c r="B19" s="18" t="s">
        <v>38</v>
      </c>
      <c r="C19" s="18"/>
      <c r="D19" s="18"/>
      <c r="E19" s="18"/>
      <c r="F19" s="18"/>
      <c r="G19" s="18"/>
      <c r="H19" s="18"/>
      <c r="I19" s="18"/>
      <c r="J19" s="18" t="s">
        <v>39</v>
      </c>
      <c r="K19" s="18"/>
      <c r="L19" s="18"/>
      <c r="M19" s="18" t="s">
        <v>26</v>
      </c>
      <c r="N19" s="18"/>
      <c r="O19" s="18"/>
      <c r="P19" s="18"/>
      <c r="Q19" s="18"/>
      <c r="R19" s="18"/>
      <c r="S19" s="18"/>
      <c r="T19" s="18"/>
      <c r="U19" s="18"/>
      <c r="V19" s="3" t="s">
        <v>3</v>
      </c>
      <c r="W19" s="19" t="s">
        <v>3</v>
      </c>
      <c r="X19" s="19"/>
      <c r="Y19" s="19"/>
      <c r="Z19" s="19"/>
      <c r="AA19" s="19"/>
      <c r="AB19" s="19"/>
      <c r="AC19" s="4">
        <f>1000000</f>
        <v>1000000</v>
      </c>
      <c r="AD19" s="3" t="s">
        <v>3</v>
      </c>
      <c r="AE19" s="4">
        <f>1000000</f>
        <v>1000000</v>
      </c>
      <c r="AF19" s="3" t="s">
        <v>3</v>
      </c>
    </row>
    <row r="20" spans="1:32" s="1" customFormat="1" ht="12" customHeight="1" x14ac:dyDescent="0.2">
      <c r="A20" s="23" t="s">
        <v>221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6">
        <f>2200000</f>
        <v>2200000</v>
      </c>
      <c r="W20" s="22" t="s">
        <v>3</v>
      </c>
      <c r="X20" s="22"/>
      <c r="Y20" s="22"/>
      <c r="Z20" s="22"/>
      <c r="AA20" s="22"/>
      <c r="AB20" s="22"/>
      <c r="AC20" s="6">
        <f>1000000</f>
        <v>1000000</v>
      </c>
      <c r="AD20" s="6">
        <f>1100000</f>
        <v>1100000</v>
      </c>
      <c r="AE20" s="6">
        <f>2100000</f>
        <v>2100000</v>
      </c>
      <c r="AF20" s="5" t="s">
        <v>3</v>
      </c>
    </row>
    <row r="21" spans="1:32" s="1" customFormat="1" ht="12.95" customHeight="1" x14ac:dyDescent="0.2">
      <c r="A21" s="20" t="s">
        <v>40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</row>
    <row r="22" spans="1:32" s="1" customFormat="1" ht="26.25" customHeight="1" x14ac:dyDescent="0.2">
      <c r="A22" s="7" t="s">
        <v>13</v>
      </c>
      <c r="B22" s="18" t="s">
        <v>41</v>
      </c>
      <c r="C22" s="18"/>
      <c r="D22" s="18"/>
      <c r="E22" s="18"/>
      <c r="F22" s="18"/>
      <c r="G22" s="18"/>
      <c r="H22" s="18"/>
      <c r="I22" s="18"/>
      <c r="J22" s="18" t="s">
        <v>42</v>
      </c>
      <c r="K22" s="18"/>
      <c r="L22" s="18"/>
      <c r="M22" s="18" t="s">
        <v>26</v>
      </c>
      <c r="N22" s="18"/>
      <c r="O22" s="18"/>
      <c r="P22" s="18"/>
      <c r="Q22" s="18"/>
      <c r="R22" s="18"/>
      <c r="S22" s="18"/>
      <c r="T22" s="18"/>
      <c r="U22" s="18"/>
      <c r="V22" s="4">
        <f>7000000</f>
        <v>7000000</v>
      </c>
      <c r="W22" s="19" t="s">
        <v>3</v>
      </c>
      <c r="X22" s="19"/>
      <c r="Y22" s="19"/>
      <c r="Z22" s="19"/>
      <c r="AA22" s="19"/>
      <c r="AB22" s="19"/>
      <c r="AC22" s="4">
        <f>268181.51</f>
        <v>268181.51</v>
      </c>
      <c r="AD22" s="4">
        <f>7268181.51</f>
        <v>7268181.5099999998</v>
      </c>
      <c r="AE22" s="3" t="s">
        <v>3</v>
      </c>
      <c r="AF22" s="3" t="s">
        <v>3</v>
      </c>
    </row>
    <row r="23" spans="1:32" s="1" customFormat="1" ht="135" customHeight="1" x14ac:dyDescent="0.2">
      <c r="A23" s="7" t="s">
        <v>14</v>
      </c>
      <c r="B23" s="18" t="s">
        <v>43</v>
      </c>
      <c r="C23" s="18"/>
      <c r="D23" s="18"/>
      <c r="E23" s="18"/>
      <c r="F23" s="18"/>
      <c r="G23" s="18"/>
      <c r="H23" s="18"/>
      <c r="I23" s="18"/>
      <c r="J23" s="18" t="s">
        <v>44</v>
      </c>
      <c r="K23" s="18"/>
      <c r="L23" s="18"/>
      <c r="M23" s="21" t="s">
        <v>223</v>
      </c>
      <c r="N23" s="18"/>
      <c r="O23" s="18"/>
      <c r="P23" s="18"/>
      <c r="Q23" s="18"/>
      <c r="R23" s="18"/>
      <c r="S23" s="18"/>
      <c r="T23" s="18"/>
      <c r="U23" s="18"/>
      <c r="V23" s="4">
        <f>3165000</f>
        <v>3165000</v>
      </c>
      <c r="W23" s="19" t="s">
        <v>3</v>
      </c>
      <c r="X23" s="19"/>
      <c r="Y23" s="19"/>
      <c r="Z23" s="19"/>
      <c r="AA23" s="19"/>
      <c r="AB23" s="19"/>
      <c r="AC23" s="4">
        <f>130198.56</f>
        <v>130198.56</v>
      </c>
      <c r="AD23" s="4">
        <f>3295198.56</f>
        <v>3295198.56</v>
      </c>
      <c r="AE23" s="3" t="s">
        <v>3</v>
      </c>
      <c r="AF23" s="3" t="s">
        <v>3</v>
      </c>
    </row>
    <row r="24" spans="1:32" s="1" customFormat="1" ht="12" customHeight="1" x14ac:dyDescent="0.2">
      <c r="A24" s="23" t="s">
        <v>221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6">
        <f>10165000</f>
        <v>10165000</v>
      </c>
      <c r="W24" s="22" t="s">
        <v>3</v>
      </c>
      <c r="X24" s="22"/>
      <c r="Y24" s="22"/>
      <c r="Z24" s="22"/>
      <c r="AA24" s="22"/>
      <c r="AB24" s="22"/>
      <c r="AC24" s="6">
        <f>398380.07</f>
        <v>398380.07</v>
      </c>
      <c r="AD24" s="6">
        <f>10563380.07</f>
        <v>10563380.07</v>
      </c>
      <c r="AE24" s="5" t="s">
        <v>3</v>
      </c>
      <c r="AF24" s="5" t="s">
        <v>3</v>
      </c>
    </row>
    <row r="25" spans="1:32" s="1" customFormat="1" ht="12.95" customHeight="1" x14ac:dyDescent="0.2">
      <c r="A25" s="24" t="s">
        <v>224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7"/>
    </row>
    <row r="26" spans="1:32" s="1" customFormat="1" ht="186" customHeight="1" x14ac:dyDescent="0.2">
      <c r="A26" s="7" t="s">
        <v>13</v>
      </c>
      <c r="B26" s="18" t="s">
        <v>45</v>
      </c>
      <c r="C26" s="18"/>
      <c r="D26" s="18"/>
      <c r="E26" s="18"/>
      <c r="F26" s="18"/>
      <c r="G26" s="18"/>
      <c r="H26" s="18"/>
      <c r="I26" s="18"/>
      <c r="J26" s="18" t="s">
        <v>46</v>
      </c>
      <c r="K26" s="18"/>
      <c r="L26" s="18"/>
      <c r="M26" s="25" t="s">
        <v>257</v>
      </c>
      <c r="N26" s="26"/>
      <c r="O26" s="26"/>
      <c r="P26" s="26"/>
      <c r="Q26" s="26"/>
      <c r="R26" s="26"/>
      <c r="S26" s="26"/>
      <c r="T26" s="26"/>
      <c r="U26" s="26"/>
      <c r="V26" s="4">
        <f>887500</f>
        <v>887500</v>
      </c>
      <c r="W26" s="19" t="s">
        <v>3</v>
      </c>
      <c r="X26" s="19"/>
      <c r="Y26" s="19"/>
      <c r="Z26" s="19"/>
      <c r="AA26" s="19"/>
      <c r="AB26" s="19"/>
      <c r="AC26" s="4">
        <f>314461.77</f>
        <v>314461.77</v>
      </c>
      <c r="AD26" s="4">
        <f>1201961.77</f>
        <v>1201961.77</v>
      </c>
      <c r="AE26" s="3" t="s">
        <v>3</v>
      </c>
      <c r="AF26" s="3" t="s">
        <v>3</v>
      </c>
    </row>
    <row r="27" spans="1:32" s="1" customFormat="1" ht="24.75" customHeight="1" x14ac:dyDescent="0.2">
      <c r="A27" s="7" t="s">
        <v>14</v>
      </c>
      <c r="B27" s="18" t="s">
        <v>47</v>
      </c>
      <c r="C27" s="18"/>
      <c r="D27" s="18"/>
      <c r="E27" s="18"/>
      <c r="F27" s="18"/>
      <c r="G27" s="18"/>
      <c r="H27" s="18"/>
      <c r="I27" s="18"/>
      <c r="J27" s="18" t="s">
        <v>48</v>
      </c>
      <c r="K27" s="18"/>
      <c r="L27" s="18"/>
      <c r="M27" s="18" t="s">
        <v>26</v>
      </c>
      <c r="N27" s="18"/>
      <c r="O27" s="18"/>
      <c r="P27" s="18"/>
      <c r="Q27" s="18"/>
      <c r="R27" s="18"/>
      <c r="S27" s="18"/>
      <c r="T27" s="18"/>
      <c r="U27" s="18"/>
      <c r="V27" s="4">
        <f>2814800</f>
        <v>2814800</v>
      </c>
      <c r="W27" s="19" t="s">
        <v>3</v>
      </c>
      <c r="X27" s="19"/>
      <c r="Y27" s="19"/>
      <c r="Z27" s="19"/>
      <c r="AA27" s="19"/>
      <c r="AB27" s="19"/>
      <c r="AC27" s="4">
        <f>111656.95</f>
        <v>111656.95</v>
      </c>
      <c r="AD27" s="4">
        <f>463506.95</f>
        <v>463506.95</v>
      </c>
      <c r="AE27" s="4">
        <f>2462950</f>
        <v>2462950</v>
      </c>
      <c r="AF27" s="3" t="s">
        <v>3</v>
      </c>
    </row>
    <row r="28" spans="1:32" s="1" customFormat="1" ht="12" customHeight="1" x14ac:dyDescent="0.2">
      <c r="A28" s="23" t="s">
        <v>221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6">
        <f>3702300</f>
        <v>3702300</v>
      </c>
      <c r="W28" s="22" t="s">
        <v>3</v>
      </c>
      <c r="X28" s="22"/>
      <c r="Y28" s="22"/>
      <c r="Z28" s="22"/>
      <c r="AA28" s="22"/>
      <c r="AB28" s="22"/>
      <c r="AC28" s="6">
        <f>426118.72</f>
        <v>426118.72</v>
      </c>
      <c r="AD28" s="6">
        <f>1665468.72</f>
        <v>1665468.72</v>
      </c>
      <c r="AE28" s="6">
        <f>2462950</f>
        <v>2462950</v>
      </c>
      <c r="AF28" s="5" t="s">
        <v>3</v>
      </c>
    </row>
    <row r="29" spans="1:32" s="1" customFormat="1" ht="12.95" customHeight="1" x14ac:dyDescent="0.2">
      <c r="A29" s="24" t="s">
        <v>225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7"/>
    </row>
    <row r="30" spans="1:32" s="1" customFormat="1" ht="66" customHeight="1" x14ac:dyDescent="0.2">
      <c r="A30" s="7" t="s">
        <v>13</v>
      </c>
      <c r="B30" s="18" t="s">
        <v>49</v>
      </c>
      <c r="C30" s="18"/>
      <c r="D30" s="18"/>
      <c r="E30" s="18"/>
      <c r="F30" s="18"/>
      <c r="G30" s="18"/>
      <c r="H30" s="18"/>
      <c r="I30" s="18"/>
      <c r="J30" s="18" t="s">
        <v>50</v>
      </c>
      <c r="K30" s="18"/>
      <c r="L30" s="18"/>
      <c r="M30" s="21" t="s">
        <v>226</v>
      </c>
      <c r="N30" s="18"/>
      <c r="O30" s="18"/>
      <c r="P30" s="18"/>
      <c r="Q30" s="18"/>
      <c r="R30" s="18"/>
      <c r="S30" s="18"/>
      <c r="T30" s="18"/>
      <c r="U30" s="18"/>
      <c r="V30" s="4">
        <f>6250000</f>
        <v>6250000</v>
      </c>
      <c r="W30" s="19" t="s">
        <v>3</v>
      </c>
      <c r="X30" s="19"/>
      <c r="Y30" s="19"/>
      <c r="Z30" s="19"/>
      <c r="AA30" s="19"/>
      <c r="AB30" s="19"/>
      <c r="AC30" s="4">
        <f>1946360.13</f>
        <v>1946360.13</v>
      </c>
      <c r="AD30" s="4">
        <f>8196360.13</f>
        <v>8196360.1299999999</v>
      </c>
      <c r="AE30" s="3" t="s">
        <v>3</v>
      </c>
      <c r="AF30" s="3" t="s">
        <v>3</v>
      </c>
    </row>
    <row r="31" spans="1:32" s="1" customFormat="1" ht="172.5" customHeight="1" x14ac:dyDescent="0.2">
      <c r="A31" s="7" t="s">
        <v>14</v>
      </c>
      <c r="B31" s="18" t="s">
        <v>51</v>
      </c>
      <c r="C31" s="18"/>
      <c r="D31" s="18"/>
      <c r="E31" s="18"/>
      <c r="F31" s="18"/>
      <c r="G31" s="18"/>
      <c r="H31" s="18"/>
      <c r="I31" s="18"/>
      <c r="J31" s="18" t="s">
        <v>52</v>
      </c>
      <c r="K31" s="18"/>
      <c r="L31" s="18"/>
      <c r="M31" s="25" t="s">
        <v>258</v>
      </c>
      <c r="N31" s="26"/>
      <c r="O31" s="26"/>
      <c r="P31" s="26"/>
      <c r="Q31" s="26"/>
      <c r="R31" s="26"/>
      <c r="S31" s="26"/>
      <c r="T31" s="26"/>
      <c r="U31" s="26"/>
      <c r="V31" s="4">
        <f>18750000</f>
        <v>18750000</v>
      </c>
      <c r="W31" s="19" t="s">
        <v>3</v>
      </c>
      <c r="X31" s="19"/>
      <c r="Y31" s="19"/>
      <c r="Z31" s="19"/>
      <c r="AA31" s="19"/>
      <c r="AB31" s="19"/>
      <c r="AC31" s="3" t="s">
        <v>3</v>
      </c>
      <c r="AD31" s="4">
        <f>12500000</f>
        <v>12500000</v>
      </c>
      <c r="AE31" s="4">
        <f>6250000</f>
        <v>6250000</v>
      </c>
      <c r="AF31" s="3" t="s">
        <v>3</v>
      </c>
    </row>
    <row r="32" spans="1:32" s="1" customFormat="1" ht="23.25" customHeight="1" x14ac:dyDescent="0.2">
      <c r="A32" s="7" t="s">
        <v>15</v>
      </c>
      <c r="B32" s="18" t="s">
        <v>53</v>
      </c>
      <c r="C32" s="18"/>
      <c r="D32" s="18"/>
      <c r="E32" s="18"/>
      <c r="F32" s="18"/>
      <c r="G32" s="18"/>
      <c r="H32" s="18"/>
      <c r="I32" s="18"/>
      <c r="J32" s="18" t="s">
        <v>54</v>
      </c>
      <c r="K32" s="18"/>
      <c r="L32" s="18"/>
      <c r="M32" s="18" t="s">
        <v>26</v>
      </c>
      <c r="N32" s="18"/>
      <c r="O32" s="18"/>
      <c r="P32" s="18"/>
      <c r="Q32" s="18"/>
      <c r="R32" s="18"/>
      <c r="S32" s="18"/>
      <c r="T32" s="18"/>
      <c r="U32" s="18"/>
      <c r="V32" s="4">
        <f>15000000</f>
        <v>15000000</v>
      </c>
      <c r="W32" s="19" t="s">
        <v>3</v>
      </c>
      <c r="X32" s="19"/>
      <c r="Y32" s="19"/>
      <c r="Z32" s="19"/>
      <c r="AA32" s="19"/>
      <c r="AB32" s="19"/>
      <c r="AC32" s="4">
        <f>617054.79</f>
        <v>617054.79</v>
      </c>
      <c r="AD32" s="4">
        <f>4367054.79</f>
        <v>4367054.79</v>
      </c>
      <c r="AE32" s="4">
        <f>11250000</f>
        <v>11250000</v>
      </c>
      <c r="AF32" s="3" t="s">
        <v>3</v>
      </c>
    </row>
    <row r="33" spans="1:32" s="1" customFormat="1" ht="24" customHeight="1" x14ac:dyDescent="0.2">
      <c r="A33" s="7" t="s">
        <v>16</v>
      </c>
      <c r="B33" s="18" t="s">
        <v>55</v>
      </c>
      <c r="C33" s="18"/>
      <c r="D33" s="18"/>
      <c r="E33" s="18"/>
      <c r="F33" s="18"/>
      <c r="G33" s="18"/>
      <c r="H33" s="18"/>
      <c r="I33" s="18"/>
      <c r="J33" s="18" t="s">
        <v>56</v>
      </c>
      <c r="K33" s="18"/>
      <c r="L33" s="18"/>
      <c r="M33" s="18" t="s">
        <v>26</v>
      </c>
      <c r="N33" s="18"/>
      <c r="O33" s="18"/>
      <c r="P33" s="18"/>
      <c r="Q33" s="18"/>
      <c r="R33" s="18"/>
      <c r="S33" s="18"/>
      <c r="T33" s="18"/>
      <c r="U33" s="18"/>
      <c r="V33" s="3" t="s">
        <v>3</v>
      </c>
      <c r="W33" s="19" t="s">
        <v>3</v>
      </c>
      <c r="X33" s="19"/>
      <c r="Y33" s="19"/>
      <c r="Z33" s="19"/>
      <c r="AA33" s="19"/>
      <c r="AB33" s="19"/>
      <c r="AC33" s="4">
        <f>15000000</f>
        <v>15000000</v>
      </c>
      <c r="AD33" s="3" t="s">
        <v>3</v>
      </c>
      <c r="AE33" s="4">
        <f>15000000</f>
        <v>15000000</v>
      </c>
      <c r="AF33" s="3" t="s">
        <v>3</v>
      </c>
    </row>
    <row r="34" spans="1:32" s="1" customFormat="1" ht="24" customHeight="1" x14ac:dyDescent="0.2">
      <c r="A34" s="7" t="s">
        <v>17</v>
      </c>
      <c r="B34" s="18" t="s">
        <v>57</v>
      </c>
      <c r="C34" s="18"/>
      <c r="D34" s="18"/>
      <c r="E34" s="18"/>
      <c r="F34" s="18"/>
      <c r="G34" s="18"/>
      <c r="H34" s="18"/>
      <c r="I34" s="18"/>
      <c r="J34" s="18" t="s">
        <v>58</v>
      </c>
      <c r="K34" s="18"/>
      <c r="L34" s="18"/>
      <c r="M34" s="18" t="s">
        <v>26</v>
      </c>
      <c r="N34" s="18"/>
      <c r="O34" s="18"/>
      <c r="P34" s="18"/>
      <c r="Q34" s="18"/>
      <c r="R34" s="18"/>
      <c r="S34" s="18"/>
      <c r="T34" s="18"/>
      <c r="U34" s="18"/>
      <c r="V34" s="3" t="s">
        <v>3</v>
      </c>
      <c r="W34" s="19" t="s">
        <v>3</v>
      </c>
      <c r="X34" s="19"/>
      <c r="Y34" s="19"/>
      <c r="Z34" s="19"/>
      <c r="AA34" s="19"/>
      <c r="AB34" s="19"/>
      <c r="AC34" s="4">
        <f>10000000</f>
        <v>10000000</v>
      </c>
      <c r="AD34" s="3" t="s">
        <v>3</v>
      </c>
      <c r="AE34" s="4">
        <f>10000000</f>
        <v>10000000</v>
      </c>
      <c r="AF34" s="3" t="s">
        <v>3</v>
      </c>
    </row>
    <row r="35" spans="1:32" s="1" customFormat="1" ht="24" customHeight="1" x14ac:dyDescent="0.2">
      <c r="A35" s="7" t="s">
        <v>18</v>
      </c>
      <c r="B35" s="18" t="s">
        <v>59</v>
      </c>
      <c r="C35" s="18"/>
      <c r="D35" s="18"/>
      <c r="E35" s="18"/>
      <c r="F35" s="18"/>
      <c r="G35" s="18"/>
      <c r="H35" s="18"/>
      <c r="I35" s="18"/>
      <c r="J35" s="18" t="s">
        <v>39</v>
      </c>
      <c r="K35" s="18"/>
      <c r="L35" s="18"/>
      <c r="M35" s="18" t="s">
        <v>26</v>
      </c>
      <c r="N35" s="18"/>
      <c r="O35" s="18"/>
      <c r="P35" s="18"/>
      <c r="Q35" s="18"/>
      <c r="R35" s="18"/>
      <c r="S35" s="18"/>
      <c r="T35" s="18"/>
      <c r="U35" s="18"/>
      <c r="V35" s="3" t="s">
        <v>3</v>
      </c>
      <c r="W35" s="19" t="s">
        <v>3</v>
      </c>
      <c r="X35" s="19"/>
      <c r="Y35" s="19"/>
      <c r="Z35" s="19"/>
      <c r="AA35" s="19"/>
      <c r="AB35" s="19"/>
      <c r="AC35" s="4">
        <f>10000000</f>
        <v>10000000</v>
      </c>
      <c r="AD35" s="3" t="s">
        <v>3</v>
      </c>
      <c r="AE35" s="4">
        <f>10000000</f>
        <v>10000000</v>
      </c>
      <c r="AF35" s="3" t="s">
        <v>3</v>
      </c>
    </row>
    <row r="36" spans="1:32" s="1" customFormat="1" ht="12" customHeight="1" x14ac:dyDescent="0.2">
      <c r="A36" s="23" t="s">
        <v>221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6">
        <f>40000000</f>
        <v>40000000</v>
      </c>
      <c r="W36" s="22" t="s">
        <v>3</v>
      </c>
      <c r="X36" s="22"/>
      <c r="Y36" s="22"/>
      <c r="Z36" s="22"/>
      <c r="AA36" s="22"/>
      <c r="AB36" s="22"/>
      <c r="AC36" s="6">
        <f>37563414.92</f>
        <v>37563414.920000002</v>
      </c>
      <c r="AD36" s="6">
        <f>25063414.92</f>
        <v>25063414.920000002</v>
      </c>
      <c r="AE36" s="6">
        <f>52500000</f>
        <v>52500000</v>
      </c>
      <c r="AF36" s="5" t="s">
        <v>3</v>
      </c>
    </row>
    <row r="37" spans="1:32" s="1" customFormat="1" ht="12.95" customHeight="1" x14ac:dyDescent="0.2">
      <c r="A37" s="15" t="s">
        <v>60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7"/>
    </row>
    <row r="38" spans="1:32" s="1" customFormat="1" ht="24" customHeight="1" x14ac:dyDescent="0.2">
      <c r="A38" s="7" t="s">
        <v>13</v>
      </c>
      <c r="B38" s="18" t="s">
        <v>61</v>
      </c>
      <c r="C38" s="18"/>
      <c r="D38" s="18"/>
      <c r="E38" s="18"/>
      <c r="F38" s="18"/>
      <c r="G38" s="18"/>
      <c r="H38" s="18"/>
      <c r="I38" s="18"/>
      <c r="J38" s="18" t="s">
        <v>62</v>
      </c>
      <c r="K38" s="18"/>
      <c r="L38" s="18"/>
      <c r="M38" s="18" t="s">
        <v>26</v>
      </c>
      <c r="N38" s="18"/>
      <c r="O38" s="18"/>
      <c r="P38" s="18"/>
      <c r="Q38" s="18"/>
      <c r="R38" s="18"/>
      <c r="S38" s="18"/>
      <c r="T38" s="18"/>
      <c r="U38" s="18"/>
      <c r="V38" s="4">
        <f>6565000</f>
        <v>6565000</v>
      </c>
      <c r="W38" s="19" t="s">
        <v>3</v>
      </c>
      <c r="X38" s="19"/>
      <c r="Y38" s="19"/>
      <c r="Z38" s="19"/>
      <c r="AA38" s="19"/>
      <c r="AB38" s="19"/>
      <c r="AC38" s="4">
        <f>254483.68</f>
        <v>254483.68</v>
      </c>
      <c r="AD38" s="4">
        <f>6819483.68</f>
        <v>6819483.6799999997</v>
      </c>
      <c r="AE38" s="3" t="s">
        <v>3</v>
      </c>
      <c r="AF38" s="3" t="s">
        <v>3</v>
      </c>
    </row>
    <row r="39" spans="1:32" s="1" customFormat="1" ht="24" customHeight="1" x14ac:dyDescent="0.2">
      <c r="A39" s="7" t="s">
        <v>14</v>
      </c>
      <c r="B39" s="18" t="s">
        <v>63</v>
      </c>
      <c r="C39" s="18"/>
      <c r="D39" s="18"/>
      <c r="E39" s="18"/>
      <c r="F39" s="18"/>
      <c r="G39" s="18"/>
      <c r="H39" s="18"/>
      <c r="I39" s="18"/>
      <c r="J39" s="18" t="s">
        <v>64</v>
      </c>
      <c r="K39" s="18"/>
      <c r="L39" s="18"/>
      <c r="M39" s="21" t="s">
        <v>227</v>
      </c>
      <c r="N39" s="18"/>
      <c r="O39" s="18"/>
      <c r="P39" s="18"/>
      <c r="Q39" s="18"/>
      <c r="R39" s="18"/>
      <c r="S39" s="18"/>
      <c r="T39" s="18"/>
      <c r="U39" s="18"/>
      <c r="V39" s="3" t="s">
        <v>3</v>
      </c>
      <c r="W39" s="19" t="s">
        <v>3</v>
      </c>
      <c r="X39" s="19"/>
      <c r="Y39" s="19"/>
      <c r="Z39" s="19"/>
      <c r="AA39" s="19"/>
      <c r="AB39" s="19"/>
      <c r="AC39" s="4">
        <f>7138441.78</f>
        <v>7138441.7800000003</v>
      </c>
      <c r="AD39" s="4">
        <f>7138441.78</f>
        <v>7138441.7800000003</v>
      </c>
      <c r="AE39" s="3" t="s">
        <v>3</v>
      </c>
      <c r="AF39" s="3" t="s">
        <v>3</v>
      </c>
    </row>
    <row r="40" spans="1:32" s="1" customFormat="1" ht="24" customHeight="1" x14ac:dyDescent="0.2">
      <c r="A40" s="7" t="s">
        <v>15</v>
      </c>
      <c r="B40" s="18" t="s">
        <v>65</v>
      </c>
      <c r="C40" s="18"/>
      <c r="D40" s="18"/>
      <c r="E40" s="18"/>
      <c r="F40" s="18"/>
      <c r="G40" s="18"/>
      <c r="H40" s="18"/>
      <c r="I40" s="18"/>
      <c r="J40" s="18" t="s">
        <v>39</v>
      </c>
      <c r="K40" s="18"/>
      <c r="L40" s="18"/>
      <c r="M40" s="18" t="s">
        <v>26</v>
      </c>
      <c r="N40" s="18"/>
      <c r="O40" s="18"/>
      <c r="P40" s="18"/>
      <c r="Q40" s="18"/>
      <c r="R40" s="18"/>
      <c r="S40" s="18"/>
      <c r="T40" s="18"/>
      <c r="U40" s="18"/>
      <c r="V40" s="3" t="s">
        <v>3</v>
      </c>
      <c r="W40" s="19" t="s">
        <v>3</v>
      </c>
      <c r="X40" s="19"/>
      <c r="Y40" s="19"/>
      <c r="Z40" s="19"/>
      <c r="AA40" s="19"/>
      <c r="AB40" s="19"/>
      <c r="AC40" s="4">
        <f>7000000</f>
        <v>7000000</v>
      </c>
      <c r="AD40" s="3" t="s">
        <v>3</v>
      </c>
      <c r="AE40" s="4">
        <f>7000000</f>
        <v>7000000</v>
      </c>
      <c r="AF40" s="3" t="s">
        <v>3</v>
      </c>
    </row>
    <row r="41" spans="1:32" s="1" customFormat="1" ht="12" customHeight="1" x14ac:dyDescent="0.2">
      <c r="A41" s="23" t="s">
        <v>221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6">
        <f>6565000</f>
        <v>6565000</v>
      </c>
      <c r="W41" s="22" t="s">
        <v>3</v>
      </c>
      <c r="X41" s="22"/>
      <c r="Y41" s="22"/>
      <c r="Z41" s="22"/>
      <c r="AA41" s="22"/>
      <c r="AB41" s="22"/>
      <c r="AC41" s="6">
        <f>14392925.46</f>
        <v>14392925.460000001</v>
      </c>
      <c r="AD41" s="6">
        <f>13957925.46</f>
        <v>13957925.460000001</v>
      </c>
      <c r="AE41" s="6">
        <f>7000000</f>
        <v>7000000</v>
      </c>
      <c r="AF41" s="5" t="s">
        <v>3</v>
      </c>
    </row>
    <row r="42" spans="1:32" s="1" customFormat="1" ht="12.95" customHeight="1" x14ac:dyDescent="0.2">
      <c r="A42" s="27" t="s">
        <v>228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9"/>
    </row>
    <row r="43" spans="1:32" s="1" customFormat="1" ht="24" customHeight="1" x14ac:dyDescent="0.2">
      <c r="A43" s="7" t="s">
        <v>13</v>
      </c>
      <c r="B43" s="18" t="s">
        <v>66</v>
      </c>
      <c r="C43" s="18"/>
      <c r="D43" s="18"/>
      <c r="E43" s="18"/>
      <c r="F43" s="18"/>
      <c r="G43" s="18"/>
      <c r="H43" s="18"/>
      <c r="I43" s="18"/>
      <c r="J43" s="18" t="s">
        <v>67</v>
      </c>
      <c r="K43" s="18"/>
      <c r="L43" s="18"/>
      <c r="M43" s="18" t="s">
        <v>26</v>
      </c>
      <c r="N43" s="18"/>
      <c r="O43" s="18"/>
      <c r="P43" s="18"/>
      <c r="Q43" s="18"/>
      <c r="R43" s="18"/>
      <c r="S43" s="18"/>
      <c r="T43" s="18"/>
      <c r="U43" s="18"/>
      <c r="V43" s="3" t="s">
        <v>3</v>
      </c>
      <c r="W43" s="19" t="s">
        <v>3</v>
      </c>
      <c r="X43" s="19"/>
      <c r="Y43" s="19"/>
      <c r="Z43" s="19"/>
      <c r="AA43" s="19"/>
      <c r="AB43" s="19"/>
      <c r="AC43" s="4">
        <f>5000000</f>
        <v>5000000</v>
      </c>
      <c r="AD43" s="3" t="s">
        <v>3</v>
      </c>
      <c r="AE43" s="4">
        <f>5000000</f>
        <v>5000000</v>
      </c>
      <c r="AF43" s="3" t="s">
        <v>3</v>
      </c>
    </row>
    <row r="44" spans="1:32" s="1" customFormat="1" ht="24" customHeight="1" x14ac:dyDescent="0.2">
      <c r="A44" s="7" t="s">
        <v>14</v>
      </c>
      <c r="B44" s="18" t="s">
        <v>68</v>
      </c>
      <c r="C44" s="18"/>
      <c r="D44" s="18"/>
      <c r="E44" s="18"/>
      <c r="F44" s="18"/>
      <c r="G44" s="18"/>
      <c r="H44" s="18"/>
      <c r="I44" s="18"/>
      <c r="J44" s="18" t="s">
        <v>69</v>
      </c>
      <c r="K44" s="18"/>
      <c r="L44" s="18"/>
      <c r="M44" s="18" t="s">
        <v>26</v>
      </c>
      <c r="N44" s="18"/>
      <c r="O44" s="18"/>
      <c r="P44" s="18"/>
      <c r="Q44" s="18"/>
      <c r="R44" s="18"/>
      <c r="S44" s="18"/>
      <c r="T44" s="18"/>
      <c r="U44" s="18"/>
      <c r="V44" s="3" t="s">
        <v>3</v>
      </c>
      <c r="W44" s="19" t="s">
        <v>3</v>
      </c>
      <c r="X44" s="19"/>
      <c r="Y44" s="19"/>
      <c r="Z44" s="19"/>
      <c r="AA44" s="19"/>
      <c r="AB44" s="19"/>
      <c r="AC44" s="4">
        <f>5000000</f>
        <v>5000000</v>
      </c>
      <c r="AD44" s="3" t="s">
        <v>3</v>
      </c>
      <c r="AE44" s="4">
        <f>5000000</f>
        <v>5000000</v>
      </c>
      <c r="AF44" s="3" t="s">
        <v>3</v>
      </c>
    </row>
    <row r="45" spans="1:32" s="1" customFormat="1" ht="12" customHeight="1" x14ac:dyDescent="0.2">
      <c r="A45" s="23" t="s">
        <v>221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5" t="s">
        <v>3</v>
      </c>
      <c r="W45" s="22" t="s">
        <v>3</v>
      </c>
      <c r="X45" s="22"/>
      <c r="Y45" s="22"/>
      <c r="Z45" s="22"/>
      <c r="AA45" s="22"/>
      <c r="AB45" s="22"/>
      <c r="AC45" s="6">
        <f>10000000</f>
        <v>10000000</v>
      </c>
      <c r="AD45" s="5" t="s">
        <v>3</v>
      </c>
      <c r="AE45" s="6">
        <f>10000000</f>
        <v>10000000</v>
      </c>
      <c r="AF45" s="5" t="s">
        <v>3</v>
      </c>
    </row>
    <row r="46" spans="1:32" s="1" customFormat="1" ht="12.95" customHeight="1" x14ac:dyDescent="0.2">
      <c r="A46" s="30" t="s">
        <v>229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</row>
    <row r="47" spans="1:32" s="1" customFormat="1" ht="24" customHeight="1" x14ac:dyDescent="0.2">
      <c r="A47" s="7" t="s">
        <v>13</v>
      </c>
      <c r="B47" s="18" t="s">
        <v>70</v>
      </c>
      <c r="C47" s="18"/>
      <c r="D47" s="18"/>
      <c r="E47" s="18"/>
      <c r="F47" s="18"/>
      <c r="G47" s="18"/>
      <c r="H47" s="18"/>
      <c r="I47" s="18"/>
      <c r="J47" s="18" t="s">
        <v>71</v>
      </c>
      <c r="K47" s="18"/>
      <c r="L47" s="18"/>
      <c r="M47" s="18" t="s">
        <v>26</v>
      </c>
      <c r="N47" s="18"/>
      <c r="O47" s="18"/>
      <c r="P47" s="18"/>
      <c r="Q47" s="18"/>
      <c r="R47" s="18"/>
      <c r="S47" s="18"/>
      <c r="T47" s="18"/>
      <c r="U47" s="18"/>
      <c r="V47" s="4">
        <f>3000000</f>
        <v>3000000</v>
      </c>
      <c r="W47" s="19" t="s">
        <v>3</v>
      </c>
      <c r="X47" s="19"/>
      <c r="Y47" s="19"/>
      <c r="Z47" s="19"/>
      <c r="AA47" s="19"/>
      <c r="AB47" s="19"/>
      <c r="AC47" s="4">
        <f>119681.51</f>
        <v>119681.51</v>
      </c>
      <c r="AD47" s="4">
        <f>869681.51</f>
        <v>869681.51</v>
      </c>
      <c r="AE47" s="4">
        <f>2250000</f>
        <v>2250000</v>
      </c>
      <c r="AF47" s="3" t="s">
        <v>3</v>
      </c>
    </row>
    <row r="48" spans="1:32" s="1" customFormat="1" ht="24" customHeight="1" x14ac:dyDescent="0.2">
      <c r="A48" s="7" t="s">
        <v>14</v>
      </c>
      <c r="B48" s="18" t="s">
        <v>72</v>
      </c>
      <c r="C48" s="18"/>
      <c r="D48" s="18"/>
      <c r="E48" s="18"/>
      <c r="F48" s="18"/>
      <c r="G48" s="18"/>
      <c r="H48" s="18"/>
      <c r="I48" s="18"/>
      <c r="J48" s="18" t="s">
        <v>73</v>
      </c>
      <c r="K48" s="18"/>
      <c r="L48" s="18"/>
      <c r="M48" s="18" t="s">
        <v>26</v>
      </c>
      <c r="N48" s="18"/>
      <c r="O48" s="18"/>
      <c r="P48" s="18"/>
      <c r="Q48" s="18"/>
      <c r="R48" s="18"/>
      <c r="S48" s="18"/>
      <c r="T48" s="18"/>
      <c r="U48" s="18"/>
      <c r="V48" s="3" t="s">
        <v>3</v>
      </c>
      <c r="W48" s="19" t="s">
        <v>3</v>
      </c>
      <c r="X48" s="19"/>
      <c r="Y48" s="19"/>
      <c r="Z48" s="19"/>
      <c r="AA48" s="19"/>
      <c r="AB48" s="19"/>
      <c r="AC48" s="4">
        <f>3000000</f>
        <v>3000000</v>
      </c>
      <c r="AD48" s="3" t="s">
        <v>3</v>
      </c>
      <c r="AE48" s="4">
        <f>3000000</f>
        <v>3000000</v>
      </c>
      <c r="AF48" s="3" t="s">
        <v>3</v>
      </c>
    </row>
    <row r="49" spans="1:32" s="1" customFormat="1" ht="12" customHeight="1" x14ac:dyDescent="0.2">
      <c r="A49" s="23" t="s">
        <v>221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6">
        <f>3000000</f>
        <v>3000000</v>
      </c>
      <c r="W49" s="22" t="s">
        <v>3</v>
      </c>
      <c r="X49" s="22"/>
      <c r="Y49" s="22"/>
      <c r="Z49" s="22"/>
      <c r="AA49" s="22"/>
      <c r="AB49" s="22"/>
      <c r="AC49" s="6">
        <f>3119681.51</f>
        <v>3119681.51</v>
      </c>
      <c r="AD49" s="6">
        <f>869681.51</f>
        <v>869681.51</v>
      </c>
      <c r="AE49" s="6">
        <f>5250000</f>
        <v>5250000</v>
      </c>
      <c r="AF49" s="5" t="s">
        <v>3</v>
      </c>
    </row>
    <row r="50" spans="1:32" s="1" customFormat="1" ht="12.95" customHeight="1" x14ac:dyDescent="0.2">
      <c r="A50" s="20" t="s">
        <v>74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</row>
    <row r="51" spans="1:32" s="1" customFormat="1" ht="24" customHeight="1" x14ac:dyDescent="0.2">
      <c r="A51" s="7" t="s">
        <v>13</v>
      </c>
      <c r="B51" s="18" t="s">
        <v>75</v>
      </c>
      <c r="C51" s="18"/>
      <c r="D51" s="18"/>
      <c r="E51" s="18"/>
      <c r="F51" s="18"/>
      <c r="G51" s="18"/>
      <c r="H51" s="18"/>
      <c r="I51" s="18"/>
      <c r="J51" s="18" t="s">
        <v>58</v>
      </c>
      <c r="K51" s="18"/>
      <c r="L51" s="18"/>
      <c r="M51" s="18" t="s">
        <v>26</v>
      </c>
      <c r="N51" s="18"/>
      <c r="O51" s="18"/>
      <c r="P51" s="18"/>
      <c r="Q51" s="18"/>
      <c r="R51" s="18"/>
      <c r="S51" s="18"/>
      <c r="T51" s="18"/>
      <c r="U51" s="18"/>
      <c r="V51" s="3" t="s">
        <v>3</v>
      </c>
      <c r="W51" s="19" t="s">
        <v>3</v>
      </c>
      <c r="X51" s="19"/>
      <c r="Y51" s="19"/>
      <c r="Z51" s="19"/>
      <c r="AA51" s="19"/>
      <c r="AB51" s="19"/>
      <c r="AC51" s="4">
        <f>5000000</f>
        <v>5000000</v>
      </c>
      <c r="AD51" s="3" t="s">
        <v>3</v>
      </c>
      <c r="AE51" s="4">
        <f>5000000</f>
        <v>5000000</v>
      </c>
      <c r="AF51" s="3" t="s">
        <v>3</v>
      </c>
    </row>
    <row r="52" spans="1:32" s="1" customFormat="1" ht="12.95" customHeight="1" x14ac:dyDescent="0.2">
      <c r="A52" s="27" t="s">
        <v>230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9"/>
    </row>
    <row r="53" spans="1:32" s="1" customFormat="1" ht="24" customHeight="1" x14ac:dyDescent="0.2">
      <c r="A53" s="7" t="s">
        <v>13</v>
      </c>
      <c r="B53" s="18" t="s">
        <v>76</v>
      </c>
      <c r="C53" s="18"/>
      <c r="D53" s="18"/>
      <c r="E53" s="18"/>
      <c r="F53" s="18"/>
      <c r="G53" s="18"/>
      <c r="H53" s="18"/>
      <c r="I53" s="18"/>
      <c r="J53" s="18" t="s">
        <v>77</v>
      </c>
      <c r="K53" s="18"/>
      <c r="L53" s="18"/>
      <c r="M53" s="18" t="s">
        <v>26</v>
      </c>
      <c r="N53" s="18"/>
      <c r="O53" s="18"/>
      <c r="P53" s="18"/>
      <c r="Q53" s="18"/>
      <c r="R53" s="18"/>
      <c r="S53" s="18"/>
      <c r="T53" s="18"/>
      <c r="U53" s="18"/>
      <c r="V53" s="4">
        <f>2000000</f>
        <v>2000000</v>
      </c>
      <c r="W53" s="19" t="s">
        <v>3</v>
      </c>
      <c r="X53" s="19"/>
      <c r="Y53" s="19"/>
      <c r="Z53" s="19"/>
      <c r="AA53" s="19"/>
      <c r="AB53" s="19"/>
      <c r="AC53" s="4">
        <f>82273.97</f>
        <v>82273.97</v>
      </c>
      <c r="AD53" s="4">
        <f>582273.97</f>
        <v>582273.97</v>
      </c>
      <c r="AE53" s="4">
        <f>1500000</f>
        <v>1500000</v>
      </c>
      <c r="AF53" s="3" t="s">
        <v>3</v>
      </c>
    </row>
    <row r="54" spans="1:32" s="1" customFormat="1" ht="12.95" customHeight="1" x14ac:dyDescent="0.2">
      <c r="A54" s="24" t="s">
        <v>231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7"/>
    </row>
    <row r="55" spans="1:32" s="1" customFormat="1" ht="24" customHeight="1" x14ac:dyDescent="0.2">
      <c r="A55" s="7" t="s">
        <v>13</v>
      </c>
      <c r="B55" s="18" t="s">
        <v>78</v>
      </c>
      <c r="C55" s="18"/>
      <c r="D55" s="18"/>
      <c r="E55" s="18"/>
      <c r="F55" s="18"/>
      <c r="G55" s="18"/>
      <c r="H55" s="18"/>
      <c r="I55" s="18"/>
      <c r="J55" s="18" t="s">
        <v>79</v>
      </c>
      <c r="K55" s="18"/>
      <c r="L55" s="18"/>
      <c r="M55" s="18" t="s">
        <v>26</v>
      </c>
      <c r="N55" s="18"/>
      <c r="O55" s="18"/>
      <c r="P55" s="18"/>
      <c r="Q55" s="18"/>
      <c r="R55" s="18"/>
      <c r="S55" s="18"/>
      <c r="T55" s="18"/>
      <c r="U55" s="18"/>
      <c r="V55" s="4">
        <f>38000000</f>
        <v>38000000</v>
      </c>
      <c r="W55" s="19" t="s">
        <v>3</v>
      </c>
      <c r="X55" s="19"/>
      <c r="Y55" s="19"/>
      <c r="Z55" s="19"/>
      <c r="AA55" s="19"/>
      <c r="AB55" s="19"/>
      <c r="AC55" s="4">
        <f>1503082.19</f>
        <v>1503082.19</v>
      </c>
      <c r="AD55" s="4">
        <f>39503082.19</f>
        <v>39503082.189999998</v>
      </c>
      <c r="AE55" s="3" t="s">
        <v>3</v>
      </c>
      <c r="AF55" s="3" t="s">
        <v>3</v>
      </c>
    </row>
    <row r="56" spans="1:32" s="1" customFormat="1" ht="24" customHeight="1" x14ac:dyDescent="0.2">
      <c r="A56" s="7" t="s">
        <v>14</v>
      </c>
      <c r="B56" s="18" t="s">
        <v>80</v>
      </c>
      <c r="C56" s="18"/>
      <c r="D56" s="18"/>
      <c r="E56" s="18"/>
      <c r="F56" s="18"/>
      <c r="G56" s="18"/>
      <c r="H56" s="18"/>
      <c r="I56" s="18"/>
      <c r="J56" s="18" t="s">
        <v>81</v>
      </c>
      <c r="K56" s="18"/>
      <c r="L56" s="18"/>
      <c r="M56" s="18" t="s">
        <v>26</v>
      </c>
      <c r="N56" s="18"/>
      <c r="O56" s="18"/>
      <c r="P56" s="18"/>
      <c r="Q56" s="18"/>
      <c r="R56" s="18"/>
      <c r="S56" s="18"/>
      <c r="T56" s="18"/>
      <c r="U56" s="18"/>
      <c r="V56" s="4">
        <f>20000000</f>
        <v>20000000</v>
      </c>
      <c r="W56" s="19" t="s">
        <v>3</v>
      </c>
      <c r="X56" s="19"/>
      <c r="Y56" s="19"/>
      <c r="Z56" s="19"/>
      <c r="AA56" s="19"/>
      <c r="AB56" s="19"/>
      <c r="AC56" s="4">
        <f>784315.07</f>
        <v>784315.07</v>
      </c>
      <c r="AD56" s="4">
        <f>20784315.07</f>
        <v>20784315.07</v>
      </c>
      <c r="AE56" s="3" t="s">
        <v>3</v>
      </c>
      <c r="AF56" s="3" t="s">
        <v>3</v>
      </c>
    </row>
    <row r="57" spans="1:32" s="1" customFormat="1" ht="14.1" customHeight="1" x14ac:dyDescent="0.2">
      <c r="A57" s="7" t="s">
        <v>15</v>
      </c>
      <c r="B57" s="18" t="s">
        <v>82</v>
      </c>
      <c r="C57" s="18"/>
      <c r="D57" s="18"/>
      <c r="E57" s="18"/>
      <c r="F57" s="18"/>
      <c r="G57" s="18"/>
      <c r="H57" s="18"/>
      <c r="I57" s="18"/>
      <c r="J57" s="18" t="s">
        <v>83</v>
      </c>
      <c r="K57" s="18"/>
      <c r="L57" s="18"/>
      <c r="M57" s="21" t="s">
        <v>232</v>
      </c>
      <c r="N57" s="18"/>
      <c r="O57" s="18"/>
      <c r="P57" s="18"/>
      <c r="Q57" s="18"/>
      <c r="R57" s="18"/>
      <c r="S57" s="18"/>
      <c r="T57" s="18"/>
      <c r="U57" s="18"/>
      <c r="V57" s="4">
        <f>43298</f>
        <v>43298</v>
      </c>
      <c r="W57" s="19" t="s">
        <v>3</v>
      </c>
      <c r="X57" s="19"/>
      <c r="Y57" s="19"/>
      <c r="Z57" s="19"/>
      <c r="AA57" s="19"/>
      <c r="AB57" s="19"/>
      <c r="AC57" s="3" t="s">
        <v>3</v>
      </c>
      <c r="AD57" s="4">
        <f>17530</f>
        <v>17530</v>
      </c>
      <c r="AE57" s="4">
        <f>25768</f>
        <v>25768</v>
      </c>
      <c r="AF57" s="3" t="s">
        <v>3</v>
      </c>
    </row>
    <row r="58" spans="1:32" s="1" customFormat="1" ht="14.1" customHeight="1" x14ac:dyDescent="0.2">
      <c r="A58" s="7" t="s">
        <v>16</v>
      </c>
      <c r="B58" s="18" t="s">
        <v>84</v>
      </c>
      <c r="C58" s="18"/>
      <c r="D58" s="18"/>
      <c r="E58" s="18"/>
      <c r="F58" s="18"/>
      <c r="G58" s="18"/>
      <c r="H58" s="18"/>
      <c r="I58" s="18"/>
      <c r="J58" s="18" t="s">
        <v>83</v>
      </c>
      <c r="K58" s="18"/>
      <c r="L58" s="18"/>
      <c r="M58" s="21" t="s">
        <v>232</v>
      </c>
      <c r="N58" s="18"/>
      <c r="O58" s="18"/>
      <c r="P58" s="18"/>
      <c r="Q58" s="18"/>
      <c r="R58" s="18"/>
      <c r="S58" s="18"/>
      <c r="T58" s="18"/>
      <c r="U58" s="18"/>
      <c r="V58" s="4">
        <f>21164</f>
        <v>21164</v>
      </c>
      <c r="W58" s="19" t="s">
        <v>3</v>
      </c>
      <c r="X58" s="19"/>
      <c r="Y58" s="19"/>
      <c r="Z58" s="19"/>
      <c r="AA58" s="19"/>
      <c r="AB58" s="19"/>
      <c r="AC58" s="3" t="s">
        <v>3</v>
      </c>
      <c r="AD58" s="4">
        <f>6191</f>
        <v>6191</v>
      </c>
      <c r="AE58" s="4">
        <f>14973</f>
        <v>14973</v>
      </c>
      <c r="AF58" s="3" t="s">
        <v>3</v>
      </c>
    </row>
    <row r="59" spans="1:32" s="1" customFormat="1" ht="24" customHeight="1" x14ac:dyDescent="0.2">
      <c r="A59" s="7" t="s">
        <v>17</v>
      </c>
      <c r="B59" s="18" t="s">
        <v>85</v>
      </c>
      <c r="C59" s="18"/>
      <c r="D59" s="18"/>
      <c r="E59" s="18"/>
      <c r="F59" s="18"/>
      <c r="G59" s="18"/>
      <c r="H59" s="18"/>
      <c r="I59" s="18"/>
      <c r="J59" s="18" t="s">
        <v>86</v>
      </c>
      <c r="K59" s="18"/>
      <c r="L59" s="18"/>
      <c r="M59" s="18" t="s">
        <v>26</v>
      </c>
      <c r="N59" s="18"/>
      <c r="O59" s="18"/>
      <c r="P59" s="18"/>
      <c r="Q59" s="18"/>
      <c r="R59" s="18"/>
      <c r="S59" s="18"/>
      <c r="T59" s="18"/>
      <c r="U59" s="18"/>
      <c r="V59" s="3" t="s">
        <v>3</v>
      </c>
      <c r="W59" s="19" t="s">
        <v>3</v>
      </c>
      <c r="X59" s="19"/>
      <c r="Y59" s="19"/>
      <c r="Z59" s="19"/>
      <c r="AA59" s="19"/>
      <c r="AB59" s="19"/>
      <c r="AC59" s="4">
        <f>37300000</f>
        <v>37300000</v>
      </c>
      <c r="AD59" s="3" t="s">
        <v>3</v>
      </c>
      <c r="AE59" s="4">
        <f>37300000</f>
        <v>37300000</v>
      </c>
      <c r="AF59" s="3" t="s">
        <v>3</v>
      </c>
    </row>
    <row r="60" spans="1:32" s="1" customFormat="1" ht="24" customHeight="1" x14ac:dyDescent="0.2">
      <c r="A60" s="7" t="s">
        <v>18</v>
      </c>
      <c r="B60" s="18" t="s">
        <v>87</v>
      </c>
      <c r="C60" s="18"/>
      <c r="D60" s="18"/>
      <c r="E60" s="18"/>
      <c r="F60" s="18"/>
      <c r="G60" s="18"/>
      <c r="H60" s="18"/>
      <c r="I60" s="18"/>
      <c r="J60" s="18" t="s">
        <v>58</v>
      </c>
      <c r="K60" s="18"/>
      <c r="L60" s="18"/>
      <c r="M60" s="18" t="s">
        <v>26</v>
      </c>
      <c r="N60" s="18"/>
      <c r="O60" s="18"/>
      <c r="P60" s="18"/>
      <c r="Q60" s="18"/>
      <c r="R60" s="18"/>
      <c r="S60" s="18"/>
      <c r="T60" s="18"/>
      <c r="U60" s="18"/>
      <c r="V60" s="3" t="s">
        <v>3</v>
      </c>
      <c r="W60" s="19" t="s">
        <v>3</v>
      </c>
      <c r="X60" s="19"/>
      <c r="Y60" s="19"/>
      <c r="Z60" s="19"/>
      <c r="AA60" s="19"/>
      <c r="AB60" s="19"/>
      <c r="AC60" s="4">
        <f>6544000</f>
        <v>6544000</v>
      </c>
      <c r="AD60" s="3" t="s">
        <v>3</v>
      </c>
      <c r="AE60" s="4">
        <f>6544000</f>
        <v>6544000</v>
      </c>
      <c r="AF60" s="3" t="s">
        <v>3</v>
      </c>
    </row>
    <row r="61" spans="1:32" s="1" customFormat="1" ht="12" customHeight="1" x14ac:dyDescent="0.2">
      <c r="A61" s="23" t="s">
        <v>217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6">
        <f>58064462</f>
        <v>58064462</v>
      </c>
      <c r="W61" s="22" t="s">
        <v>3</v>
      </c>
      <c r="X61" s="22"/>
      <c r="Y61" s="22"/>
      <c r="Z61" s="22"/>
      <c r="AA61" s="22"/>
      <c r="AB61" s="22"/>
      <c r="AC61" s="6">
        <f>46131397.26</f>
        <v>46131397.259999998</v>
      </c>
      <c r="AD61" s="6">
        <f>60311118.26</f>
        <v>60311118.259999998</v>
      </c>
      <c r="AE61" s="6">
        <f>43884741</f>
        <v>43884741</v>
      </c>
      <c r="AF61" s="5" t="s">
        <v>3</v>
      </c>
    </row>
    <row r="62" spans="1:32" s="1" customFormat="1" ht="12.95" customHeight="1" x14ac:dyDescent="0.2">
      <c r="A62" s="24" t="s">
        <v>233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7"/>
    </row>
    <row r="63" spans="1:32" s="1" customFormat="1" ht="111.75" customHeight="1" x14ac:dyDescent="0.2">
      <c r="A63" s="7" t="s">
        <v>13</v>
      </c>
      <c r="B63" s="18" t="s">
        <v>88</v>
      </c>
      <c r="C63" s="18"/>
      <c r="D63" s="18"/>
      <c r="E63" s="18"/>
      <c r="F63" s="18"/>
      <c r="G63" s="18"/>
      <c r="H63" s="18"/>
      <c r="I63" s="18"/>
      <c r="J63" s="18" t="s">
        <v>89</v>
      </c>
      <c r="K63" s="18"/>
      <c r="L63" s="18"/>
      <c r="M63" s="21" t="s">
        <v>234</v>
      </c>
      <c r="N63" s="18"/>
      <c r="O63" s="18"/>
      <c r="P63" s="18"/>
      <c r="Q63" s="18"/>
      <c r="R63" s="18"/>
      <c r="S63" s="18"/>
      <c r="T63" s="18"/>
      <c r="U63" s="18"/>
      <c r="V63" s="4">
        <f>60000000</f>
        <v>60000000</v>
      </c>
      <c r="W63" s="19" t="s">
        <v>3</v>
      </c>
      <c r="X63" s="19"/>
      <c r="Y63" s="19"/>
      <c r="Z63" s="19"/>
      <c r="AA63" s="19"/>
      <c r="AB63" s="19"/>
      <c r="AC63" s="4">
        <f>6609261.17</f>
        <v>6609261.1699999999</v>
      </c>
      <c r="AD63" s="4">
        <f>66609261.17</f>
        <v>66609261.170000002</v>
      </c>
      <c r="AE63" s="3" t="s">
        <v>3</v>
      </c>
      <c r="AF63" s="3" t="s">
        <v>3</v>
      </c>
    </row>
    <row r="64" spans="1:32" s="1" customFormat="1" ht="24.75" customHeight="1" x14ac:dyDescent="0.2">
      <c r="A64" s="7" t="s">
        <v>14</v>
      </c>
      <c r="B64" s="18" t="s">
        <v>90</v>
      </c>
      <c r="C64" s="18"/>
      <c r="D64" s="18"/>
      <c r="E64" s="18"/>
      <c r="F64" s="18"/>
      <c r="G64" s="18"/>
      <c r="H64" s="18"/>
      <c r="I64" s="18"/>
      <c r="J64" s="18" t="s">
        <v>91</v>
      </c>
      <c r="K64" s="18"/>
      <c r="L64" s="18"/>
      <c r="M64" s="21" t="s">
        <v>235</v>
      </c>
      <c r="N64" s="18"/>
      <c r="O64" s="18"/>
      <c r="P64" s="18"/>
      <c r="Q64" s="18"/>
      <c r="R64" s="18"/>
      <c r="S64" s="18"/>
      <c r="T64" s="18"/>
      <c r="U64" s="18"/>
      <c r="V64" s="4">
        <f>125000000</f>
        <v>125000000</v>
      </c>
      <c r="W64" s="19" t="s">
        <v>3</v>
      </c>
      <c r="X64" s="19"/>
      <c r="Y64" s="19"/>
      <c r="Z64" s="19"/>
      <c r="AA64" s="19"/>
      <c r="AB64" s="19"/>
      <c r="AC64" s="3" t="s">
        <v>3</v>
      </c>
      <c r="AD64" s="4">
        <f>100000000</f>
        <v>100000000</v>
      </c>
      <c r="AE64" s="4">
        <f>25000000</f>
        <v>25000000</v>
      </c>
      <c r="AF64" s="3" t="s">
        <v>3</v>
      </c>
    </row>
    <row r="65" spans="1:32" s="1" customFormat="1" ht="12" customHeight="1" x14ac:dyDescent="0.2">
      <c r="A65" s="23" t="s">
        <v>221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6">
        <f>185000000</f>
        <v>185000000</v>
      </c>
      <c r="W65" s="22" t="s">
        <v>3</v>
      </c>
      <c r="X65" s="22"/>
      <c r="Y65" s="22"/>
      <c r="Z65" s="22"/>
      <c r="AA65" s="22"/>
      <c r="AB65" s="22"/>
      <c r="AC65" s="6">
        <f>6609261.17</f>
        <v>6609261.1699999999</v>
      </c>
      <c r="AD65" s="6">
        <f>166609261.17</f>
        <v>166609261.16999999</v>
      </c>
      <c r="AE65" s="6">
        <f>25000000</f>
        <v>25000000</v>
      </c>
      <c r="AF65" s="5" t="s">
        <v>3</v>
      </c>
    </row>
    <row r="66" spans="1:32" s="1" customFormat="1" ht="12.95" customHeight="1" x14ac:dyDescent="0.2">
      <c r="A66" s="20" t="s">
        <v>92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</row>
    <row r="67" spans="1:32" s="1" customFormat="1" ht="24" customHeight="1" x14ac:dyDescent="0.2">
      <c r="A67" s="7" t="s">
        <v>13</v>
      </c>
      <c r="B67" s="18" t="s">
        <v>93</v>
      </c>
      <c r="C67" s="18"/>
      <c r="D67" s="18"/>
      <c r="E67" s="18"/>
      <c r="F67" s="18"/>
      <c r="G67" s="18"/>
      <c r="H67" s="18"/>
      <c r="I67" s="18"/>
      <c r="J67" s="18" t="s">
        <v>94</v>
      </c>
      <c r="K67" s="18"/>
      <c r="L67" s="18"/>
      <c r="M67" s="18" t="s">
        <v>26</v>
      </c>
      <c r="N67" s="18"/>
      <c r="O67" s="18"/>
      <c r="P67" s="18"/>
      <c r="Q67" s="18"/>
      <c r="R67" s="18"/>
      <c r="S67" s="18"/>
      <c r="T67" s="18"/>
      <c r="U67" s="18"/>
      <c r="V67" s="4">
        <f>3500000</f>
        <v>3500000</v>
      </c>
      <c r="W67" s="19" t="s">
        <v>3</v>
      </c>
      <c r="X67" s="19"/>
      <c r="Y67" s="19"/>
      <c r="Z67" s="19"/>
      <c r="AA67" s="19"/>
      <c r="AB67" s="19"/>
      <c r="AC67" s="4">
        <f>138046.23</f>
        <v>138046.23000000001</v>
      </c>
      <c r="AD67" s="4">
        <f>1013046.23</f>
        <v>1013046.23</v>
      </c>
      <c r="AE67" s="4">
        <f>2625000</f>
        <v>2625000</v>
      </c>
      <c r="AF67" s="3" t="s">
        <v>3</v>
      </c>
    </row>
    <row r="68" spans="1:32" s="1" customFormat="1" ht="24" customHeight="1" x14ac:dyDescent="0.2">
      <c r="A68" s="7" t="s">
        <v>14</v>
      </c>
      <c r="B68" s="18" t="s">
        <v>95</v>
      </c>
      <c r="C68" s="18"/>
      <c r="D68" s="18"/>
      <c r="E68" s="18"/>
      <c r="F68" s="18"/>
      <c r="G68" s="18"/>
      <c r="H68" s="18"/>
      <c r="I68" s="18"/>
      <c r="J68" s="18" t="s">
        <v>96</v>
      </c>
      <c r="K68" s="18"/>
      <c r="L68" s="18"/>
      <c r="M68" s="18" t="s">
        <v>26</v>
      </c>
      <c r="N68" s="18"/>
      <c r="O68" s="18"/>
      <c r="P68" s="18"/>
      <c r="Q68" s="18"/>
      <c r="R68" s="18"/>
      <c r="S68" s="18"/>
      <c r="T68" s="18"/>
      <c r="U68" s="18"/>
      <c r="V68" s="4">
        <f>20000000</f>
        <v>20000000</v>
      </c>
      <c r="W68" s="19" t="s">
        <v>3</v>
      </c>
      <c r="X68" s="19"/>
      <c r="Y68" s="19"/>
      <c r="Z68" s="19"/>
      <c r="AA68" s="19"/>
      <c r="AB68" s="19"/>
      <c r="AC68" s="4">
        <f>795616.44</f>
        <v>795616.44</v>
      </c>
      <c r="AD68" s="4">
        <f>3295616.44</f>
        <v>3295616.44</v>
      </c>
      <c r="AE68" s="4">
        <f>17500000</f>
        <v>17500000</v>
      </c>
      <c r="AF68" s="3" t="s">
        <v>3</v>
      </c>
    </row>
    <row r="69" spans="1:32" s="1" customFormat="1" ht="33.950000000000003" customHeight="1" x14ac:dyDescent="0.2">
      <c r="A69" s="7" t="s">
        <v>15</v>
      </c>
      <c r="B69" s="18" t="s">
        <v>97</v>
      </c>
      <c r="C69" s="18"/>
      <c r="D69" s="18"/>
      <c r="E69" s="18"/>
      <c r="F69" s="18"/>
      <c r="G69" s="18"/>
      <c r="H69" s="18"/>
      <c r="I69" s="18"/>
      <c r="J69" s="18" t="s">
        <v>98</v>
      </c>
      <c r="K69" s="18"/>
      <c r="L69" s="18"/>
      <c r="M69" s="18" t="s">
        <v>99</v>
      </c>
      <c r="N69" s="18"/>
      <c r="O69" s="18"/>
      <c r="P69" s="18"/>
      <c r="Q69" s="18"/>
      <c r="R69" s="18"/>
      <c r="S69" s="18"/>
      <c r="T69" s="18"/>
      <c r="U69" s="18"/>
      <c r="V69" s="4">
        <f>7016562.11</f>
        <v>7016562.1100000003</v>
      </c>
      <c r="W69" s="19" t="s">
        <v>3</v>
      </c>
      <c r="X69" s="19"/>
      <c r="Y69" s="19"/>
      <c r="Z69" s="19"/>
      <c r="AA69" s="19"/>
      <c r="AB69" s="19"/>
      <c r="AC69" s="4">
        <f>284021.51</f>
        <v>284021.51</v>
      </c>
      <c r="AD69" s="4">
        <f>4960583.62</f>
        <v>4960583.62</v>
      </c>
      <c r="AE69" s="4">
        <f>2340000</f>
        <v>2340000</v>
      </c>
      <c r="AF69" s="3" t="s">
        <v>3</v>
      </c>
    </row>
    <row r="70" spans="1:32" s="1" customFormat="1" ht="24" customHeight="1" x14ac:dyDescent="0.2">
      <c r="A70" s="7" t="s">
        <v>16</v>
      </c>
      <c r="B70" s="18" t="s">
        <v>100</v>
      </c>
      <c r="C70" s="18"/>
      <c r="D70" s="18"/>
      <c r="E70" s="18"/>
      <c r="F70" s="18"/>
      <c r="G70" s="18"/>
      <c r="H70" s="18"/>
      <c r="I70" s="18"/>
      <c r="J70" s="18" t="s">
        <v>101</v>
      </c>
      <c r="K70" s="18"/>
      <c r="L70" s="18"/>
      <c r="M70" s="18" t="s">
        <v>26</v>
      </c>
      <c r="N70" s="18"/>
      <c r="O70" s="18"/>
      <c r="P70" s="18"/>
      <c r="Q70" s="18"/>
      <c r="R70" s="18"/>
      <c r="S70" s="18"/>
      <c r="T70" s="18"/>
      <c r="U70" s="18"/>
      <c r="V70" s="3" t="s">
        <v>3</v>
      </c>
      <c r="W70" s="19" t="s">
        <v>3</v>
      </c>
      <c r="X70" s="19"/>
      <c r="Y70" s="19"/>
      <c r="Z70" s="19"/>
      <c r="AA70" s="19"/>
      <c r="AB70" s="19"/>
      <c r="AC70" s="4">
        <f>10000000</f>
        <v>10000000</v>
      </c>
      <c r="AD70" s="3" t="s">
        <v>3</v>
      </c>
      <c r="AE70" s="4">
        <f>10000000</f>
        <v>10000000</v>
      </c>
      <c r="AF70" s="3" t="s">
        <v>3</v>
      </c>
    </row>
    <row r="71" spans="1:32" s="1" customFormat="1" ht="12" customHeight="1" x14ac:dyDescent="0.2">
      <c r="A71" s="23" t="s">
        <v>221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6">
        <f>30516562.11</f>
        <v>30516562.109999999</v>
      </c>
      <c r="W71" s="22" t="s">
        <v>3</v>
      </c>
      <c r="X71" s="22"/>
      <c r="Y71" s="22"/>
      <c r="Z71" s="22"/>
      <c r="AA71" s="22"/>
      <c r="AB71" s="22"/>
      <c r="AC71" s="6">
        <f>11217684.18</f>
        <v>11217684.18</v>
      </c>
      <c r="AD71" s="6">
        <f>9269246.29</f>
        <v>9269246.2899999991</v>
      </c>
      <c r="AE71" s="6">
        <f>32465000</f>
        <v>32465000</v>
      </c>
      <c r="AF71" s="5" t="s">
        <v>3</v>
      </c>
    </row>
    <row r="72" spans="1:32" s="9" customFormat="1" ht="12.95" customHeight="1" x14ac:dyDescent="0.2">
      <c r="A72" s="31" t="s">
        <v>102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</row>
    <row r="73" spans="1:32" s="1" customFormat="1" ht="43.5" customHeight="1" x14ac:dyDescent="0.2">
      <c r="A73" s="7" t="s">
        <v>13</v>
      </c>
      <c r="B73" s="18" t="s">
        <v>103</v>
      </c>
      <c r="C73" s="18"/>
      <c r="D73" s="18"/>
      <c r="E73" s="18"/>
      <c r="F73" s="18"/>
      <c r="G73" s="18"/>
      <c r="H73" s="18"/>
      <c r="I73" s="18"/>
      <c r="J73" s="18" t="s">
        <v>32</v>
      </c>
      <c r="K73" s="18"/>
      <c r="L73" s="18"/>
      <c r="M73" s="25" t="s">
        <v>251</v>
      </c>
      <c r="N73" s="26"/>
      <c r="O73" s="26"/>
      <c r="P73" s="26"/>
      <c r="Q73" s="26"/>
      <c r="R73" s="26"/>
      <c r="S73" s="26"/>
      <c r="T73" s="26"/>
      <c r="U73" s="26"/>
      <c r="V73" s="4">
        <f>200000000</f>
        <v>200000000</v>
      </c>
      <c r="W73" s="19" t="s">
        <v>3</v>
      </c>
      <c r="X73" s="19"/>
      <c r="Y73" s="19"/>
      <c r="Z73" s="19"/>
      <c r="AA73" s="19"/>
      <c r="AB73" s="19"/>
      <c r="AC73" s="3" t="s">
        <v>3</v>
      </c>
      <c r="AD73" s="4">
        <f>100000000</f>
        <v>100000000</v>
      </c>
      <c r="AE73" s="4">
        <f>100000000</f>
        <v>100000000</v>
      </c>
      <c r="AF73" s="3" t="s">
        <v>3</v>
      </c>
    </row>
    <row r="74" spans="1:32" s="1" customFormat="1" ht="24.75" customHeight="1" x14ac:dyDescent="0.2">
      <c r="A74" s="7" t="s">
        <v>14</v>
      </c>
      <c r="B74" s="18" t="s">
        <v>104</v>
      </c>
      <c r="C74" s="18"/>
      <c r="D74" s="18"/>
      <c r="E74" s="18"/>
      <c r="F74" s="18"/>
      <c r="G74" s="18"/>
      <c r="H74" s="18"/>
      <c r="I74" s="18"/>
      <c r="J74" s="18" t="s">
        <v>105</v>
      </c>
      <c r="K74" s="18"/>
      <c r="L74" s="18"/>
      <c r="M74" s="18" t="s">
        <v>26</v>
      </c>
      <c r="N74" s="18"/>
      <c r="O74" s="18"/>
      <c r="P74" s="18"/>
      <c r="Q74" s="18"/>
      <c r="R74" s="18"/>
      <c r="S74" s="18"/>
      <c r="T74" s="18"/>
      <c r="U74" s="18"/>
      <c r="V74" s="4">
        <f>90000000</f>
        <v>90000000</v>
      </c>
      <c r="W74" s="19" t="s">
        <v>3</v>
      </c>
      <c r="X74" s="19"/>
      <c r="Y74" s="19"/>
      <c r="Z74" s="19"/>
      <c r="AA74" s="19"/>
      <c r="AB74" s="19"/>
      <c r="AC74" s="4">
        <f>3610787.67</f>
        <v>3610787.67</v>
      </c>
      <c r="AD74" s="4">
        <f>3610787.67</f>
        <v>3610787.67</v>
      </c>
      <c r="AE74" s="4">
        <f>90000000</f>
        <v>90000000</v>
      </c>
      <c r="AF74" s="3" t="s">
        <v>3</v>
      </c>
    </row>
    <row r="75" spans="1:32" s="1" customFormat="1" ht="24" customHeight="1" x14ac:dyDescent="0.2">
      <c r="A75" s="7" t="s">
        <v>15</v>
      </c>
      <c r="B75" s="18" t="s">
        <v>106</v>
      </c>
      <c r="C75" s="18"/>
      <c r="D75" s="18"/>
      <c r="E75" s="18"/>
      <c r="F75" s="18"/>
      <c r="G75" s="18"/>
      <c r="H75" s="18"/>
      <c r="I75" s="18"/>
      <c r="J75" s="18" t="s">
        <v>107</v>
      </c>
      <c r="K75" s="18"/>
      <c r="L75" s="18"/>
      <c r="M75" s="18" t="s">
        <v>26</v>
      </c>
      <c r="N75" s="18"/>
      <c r="O75" s="18"/>
      <c r="P75" s="18"/>
      <c r="Q75" s="18"/>
      <c r="R75" s="18"/>
      <c r="S75" s="18"/>
      <c r="T75" s="18"/>
      <c r="U75" s="18"/>
      <c r="V75" s="3" t="s">
        <v>3</v>
      </c>
      <c r="W75" s="19" t="s">
        <v>3</v>
      </c>
      <c r="X75" s="19"/>
      <c r="Y75" s="19"/>
      <c r="Z75" s="19"/>
      <c r="AA75" s="19"/>
      <c r="AB75" s="19"/>
      <c r="AC75" s="4">
        <f>65000000</f>
        <v>65000000</v>
      </c>
      <c r="AD75" s="3" t="s">
        <v>3</v>
      </c>
      <c r="AE75" s="4">
        <f>65000000</f>
        <v>65000000</v>
      </c>
      <c r="AF75" s="3" t="s">
        <v>3</v>
      </c>
    </row>
    <row r="76" spans="1:32" s="1" customFormat="1" ht="12" customHeight="1" x14ac:dyDescent="0.2">
      <c r="A76" s="23" t="s">
        <v>221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6">
        <f>290000000</f>
        <v>290000000</v>
      </c>
      <c r="W76" s="22" t="s">
        <v>3</v>
      </c>
      <c r="X76" s="22"/>
      <c r="Y76" s="22"/>
      <c r="Z76" s="22"/>
      <c r="AA76" s="22"/>
      <c r="AB76" s="22"/>
      <c r="AC76" s="6">
        <f>68610787.67</f>
        <v>68610787.670000002</v>
      </c>
      <c r="AD76" s="6">
        <f>103610787.67</f>
        <v>103610787.67</v>
      </c>
      <c r="AE76" s="6">
        <f>255000000</f>
        <v>255000000</v>
      </c>
      <c r="AF76" s="5" t="s">
        <v>3</v>
      </c>
    </row>
    <row r="77" spans="1:32" s="1" customFormat="1" ht="12.95" customHeight="1" x14ac:dyDescent="0.2">
      <c r="A77" s="24" t="s">
        <v>236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7"/>
    </row>
    <row r="78" spans="1:32" s="1" customFormat="1" ht="24" customHeight="1" x14ac:dyDescent="0.2">
      <c r="A78" s="7" t="s">
        <v>13</v>
      </c>
      <c r="B78" s="18" t="s">
        <v>108</v>
      </c>
      <c r="C78" s="18"/>
      <c r="D78" s="18"/>
      <c r="E78" s="18"/>
      <c r="F78" s="18"/>
      <c r="G78" s="18"/>
      <c r="H78" s="18"/>
      <c r="I78" s="18"/>
      <c r="J78" s="18" t="s">
        <v>52</v>
      </c>
      <c r="K78" s="18"/>
      <c r="L78" s="18"/>
      <c r="M78" s="21" t="s">
        <v>237</v>
      </c>
      <c r="N78" s="18"/>
      <c r="O78" s="18"/>
      <c r="P78" s="18"/>
      <c r="Q78" s="18"/>
      <c r="R78" s="18"/>
      <c r="S78" s="18"/>
      <c r="T78" s="18"/>
      <c r="U78" s="18"/>
      <c r="V78" s="4">
        <f>1425000</f>
        <v>1425000</v>
      </c>
      <c r="W78" s="19" t="s">
        <v>3</v>
      </c>
      <c r="X78" s="19"/>
      <c r="Y78" s="19"/>
      <c r="Z78" s="19"/>
      <c r="AA78" s="19"/>
      <c r="AB78" s="19"/>
      <c r="AC78" s="3" t="s">
        <v>3</v>
      </c>
      <c r="AD78" s="4">
        <f>950000</f>
        <v>950000</v>
      </c>
      <c r="AE78" s="4">
        <f>475000</f>
        <v>475000</v>
      </c>
      <c r="AF78" s="3" t="s">
        <v>3</v>
      </c>
    </row>
    <row r="79" spans="1:32" s="1" customFormat="1" ht="128.25" customHeight="1" x14ac:dyDescent="0.2">
      <c r="A79" s="7" t="s">
        <v>14</v>
      </c>
      <c r="B79" s="18" t="s">
        <v>109</v>
      </c>
      <c r="C79" s="18"/>
      <c r="D79" s="18"/>
      <c r="E79" s="18"/>
      <c r="F79" s="18"/>
      <c r="G79" s="18"/>
      <c r="H79" s="18"/>
      <c r="I79" s="18"/>
      <c r="J79" s="18" t="s">
        <v>110</v>
      </c>
      <c r="K79" s="18"/>
      <c r="L79" s="18"/>
      <c r="M79" s="21" t="s">
        <v>238</v>
      </c>
      <c r="N79" s="18"/>
      <c r="O79" s="18"/>
      <c r="P79" s="18"/>
      <c r="Q79" s="18"/>
      <c r="R79" s="18"/>
      <c r="S79" s="18"/>
      <c r="T79" s="18"/>
      <c r="U79" s="18"/>
      <c r="V79" s="4">
        <f>1600000</f>
        <v>1600000</v>
      </c>
      <c r="W79" s="19" t="s">
        <v>3</v>
      </c>
      <c r="X79" s="19"/>
      <c r="Y79" s="19"/>
      <c r="Z79" s="19"/>
      <c r="AA79" s="19"/>
      <c r="AB79" s="19"/>
      <c r="AC79" s="3" t="s">
        <v>3</v>
      </c>
      <c r="AD79" s="4">
        <f>800000</f>
        <v>800000</v>
      </c>
      <c r="AE79" s="4">
        <f>800000</f>
        <v>800000</v>
      </c>
      <c r="AF79" s="3" t="s">
        <v>3</v>
      </c>
    </row>
    <row r="80" spans="1:32" s="1" customFormat="1" ht="24.75" customHeight="1" x14ac:dyDescent="0.2">
      <c r="A80" s="7" t="s">
        <v>15</v>
      </c>
      <c r="B80" s="18" t="s">
        <v>111</v>
      </c>
      <c r="C80" s="18"/>
      <c r="D80" s="18"/>
      <c r="E80" s="18"/>
      <c r="F80" s="18"/>
      <c r="G80" s="18"/>
      <c r="H80" s="18"/>
      <c r="I80" s="18"/>
      <c r="J80" s="18" t="s">
        <v>112</v>
      </c>
      <c r="K80" s="18"/>
      <c r="L80" s="18"/>
      <c r="M80" s="18" t="s">
        <v>26</v>
      </c>
      <c r="N80" s="18"/>
      <c r="O80" s="18"/>
      <c r="P80" s="18"/>
      <c r="Q80" s="18"/>
      <c r="R80" s="18"/>
      <c r="S80" s="18"/>
      <c r="T80" s="18"/>
      <c r="U80" s="18"/>
      <c r="V80" s="4">
        <f>2000000</f>
        <v>2000000</v>
      </c>
      <c r="W80" s="19" t="s">
        <v>3</v>
      </c>
      <c r="X80" s="19"/>
      <c r="Y80" s="19"/>
      <c r="Z80" s="19"/>
      <c r="AA80" s="19"/>
      <c r="AB80" s="19"/>
      <c r="AC80" s="4">
        <f>80465.75</f>
        <v>80465.75</v>
      </c>
      <c r="AD80" s="4">
        <f>330465.75</f>
        <v>330465.75</v>
      </c>
      <c r="AE80" s="4">
        <f>1750000</f>
        <v>1750000</v>
      </c>
      <c r="AF80" s="3" t="s">
        <v>3</v>
      </c>
    </row>
    <row r="81" spans="1:32" s="1" customFormat="1" ht="24" customHeight="1" x14ac:dyDescent="0.2">
      <c r="A81" s="7" t="s">
        <v>16</v>
      </c>
      <c r="B81" s="18" t="s">
        <v>113</v>
      </c>
      <c r="C81" s="18"/>
      <c r="D81" s="18"/>
      <c r="E81" s="18"/>
      <c r="F81" s="18"/>
      <c r="G81" s="18"/>
      <c r="H81" s="18"/>
      <c r="I81" s="18"/>
      <c r="J81" s="18" t="s">
        <v>73</v>
      </c>
      <c r="K81" s="18"/>
      <c r="L81" s="18"/>
      <c r="M81" s="18" t="s">
        <v>26</v>
      </c>
      <c r="N81" s="18"/>
      <c r="O81" s="18"/>
      <c r="P81" s="18"/>
      <c r="Q81" s="18"/>
      <c r="R81" s="18"/>
      <c r="S81" s="18"/>
      <c r="T81" s="18"/>
      <c r="U81" s="18"/>
      <c r="V81" s="3" t="s">
        <v>3</v>
      </c>
      <c r="W81" s="19" t="s">
        <v>3</v>
      </c>
      <c r="X81" s="19"/>
      <c r="Y81" s="19"/>
      <c r="Z81" s="19"/>
      <c r="AA81" s="19"/>
      <c r="AB81" s="19"/>
      <c r="AC81" s="4">
        <f>3000000</f>
        <v>3000000</v>
      </c>
      <c r="AD81" s="3" t="s">
        <v>3</v>
      </c>
      <c r="AE81" s="4">
        <f>3000000</f>
        <v>3000000</v>
      </c>
      <c r="AF81" s="3" t="s">
        <v>3</v>
      </c>
    </row>
    <row r="82" spans="1:32" s="1" customFormat="1" ht="12" customHeight="1" x14ac:dyDescent="0.2">
      <c r="A82" s="23" t="s">
        <v>221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6">
        <f>5025000</f>
        <v>5025000</v>
      </c>
      <c r="W82" s="22" t="s">
        <v>3</v>
      </c>
      <c r="X82" s="22"/>
      <c r="Y82" s="22"/>
      <c r="Z82" s="22"/>
      <c r="AA82" s="22"/>
      <c r="AB82" s="22"/>
      <c r="AC82" s="6">
        <f>3080465.75</f>
        <v>3080465.75</v>
      </c>
      <c r="AD82" s="6">
        <f>2080465.75</f>
        <v>2080465.75</v>
      </c>
      <c r="AE82" s="6">
        <f>6025000</f>
        <v>6025000</v>
      </c>
      <c r="AF82" s="5" t="s">
        <v>3</v>
      </c>
    </row>
    <row r="83" spans="1:32" s="1" customFormat="1" ht="12.95" customHeight="1" x14ac:dyDescent="0.2">
      <c r="A83" s="20" t="s">
        <v>114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</row>
    <row r="84" spans="1:32" s="1" customFormat="1" ht="14.1" customHeight="1" x14ac:dyDescent="0.2">
      <c r="A84" s="7" t="s">
        <v>13</v>
      </c>
      <c r="B84" s="18" t="s">
        <v>115</v>
      </c>
      <c r="C84" s="18"/>
      <c r="D84" s="18"/>
      <c r="E84" s="18"/>
      <c r="F84" s="18"/>
      <c r="G84" s="18"/>
      <c r="H84" s="18"/>
      <c r="I84" s="18"/>
      <c r="J84" s="18" t="s">
        <v>116</v>
      </c>
      <c r="K84" s="18"/>
      <c r="L84" s="18"/>
      <c r="M84" s="21" t="s">
        <v>232</v>
      </c>
      <c r="N84" s="18"/>
      <c r="O84" s="18"/>
      <c r="P84" s="18"/>
      <c r="Q84" s="18"/>
      <c r="R84" s="18"/>
      <c r="S84" s="18"/>
      <c r="T84" s="18"/>
      <c r="U84" s="18"/>
      <c r="V84" s="4">
        <f>114164</f>
        <v>114164</v>
      </c>
      <c r="W84" s="19" t="s">
        <v>3</v>
      </c>
      <c r="X84" s="19"/>
      <c r="Y84" s="19"/>
      <c r="Z84" s="19"/>
      <c r="AA84" s="19"/>
      <c r="AB84" s="19"/>
      <c r="AC84" s="3" t="s">
        <v>3</v>
      </c>
      <c r="AD84" s="4">
        <f>114164</f>
        <v>114164</v>
      </c>
      <c r="AE84" s="3" t="s">
        <v>3</v>
      </c>
      <c r="AF84" s="3" t="s">
        <v>3</v>
      </c>
    </row>
    <row r="85" spans="1:32" s="1" customFormat="1" ht="14.1" customHeight="1" x14ac:dyDescent="0.2">
      <c r="A85" s="7" t="s">
        <v>14</v>
      </c>
      <c r="B85" s="18" t="s">
        <v>117</v>
      </c>
      <c r="C85" s="18"/>
      <c r="D85" s="18"/>
      <c r="E85" s="18"/>
      <c r="F85" s="18"/>
      <c r="G85" s="18"/>
      <c r="H85" s="18"/>
      <c r="I85" s="18"/>
      <c r="J85" s="18" t="s">
        <v>116</v>
      </c>
      <c r="K85" s="18"/>
      <c r="L85" s="18"/>
      <c r="M85" s="21" t="s">
        <v>232</v>
      </c>
      <c r="N85" s="18"/>
      <c r="O85" s="18"/>
      <c r="P85" s="18"/>
      <c r="Q85" s="18"/>
      <c r="R85" s="18"/>
      <c r="S85" s="18"/>
      <c r="T85" s="18"/>
      <c r="U85" s="18"/>
      <c r="V85" s="4">
        <f>103703</f>
        <v>103703</v>
      </c>
      <c r="W85" s="19" t="s">
        <v>3</v>
      </c>
      <c r="X85" s="19"/>
      <c r="Y85" s="19"/>
      <c r="Z85" s="19"/>
      <c r="AA85" s="19"/>
      <c r="AB85" s="19"/>
      <c r="AC85" s="3" t="s">
        <v>3</v>
      </c>
      <c r="AD85" s="4">
        <f>103703</f>
        <v>103703</v>
      </c>
      <c r="AE85" s="3" t="s">
        <v>3</v>
      </c>
      <c r="AF85" s="3" t="s">
        <v>3</v>
      </c>
    </row>
    <row r="86" spans="1:32" s="1" customFormat="1" ht="12" customHeight="1" x14ac:dyDescent="0.2">
      <c r="A86" s="23" t="s">
        <v>221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6">
        <f>217867</f>
        <v>217867</v>
      </c>
      <c r="W86" s="22" t="s">
        <v>3</v>
      </c>
      <c r="X86" s="22"/>
      <c r="Y86" s="22"/>
      <c r="Z86" s="22"/>
      <c r="AA86" s="22"/>
      <c r="AB86" s="22"/>
      <c r="AC86" s="5" t="s">
        <v>3</v>
      </c>
      <c r="AD86" s="6">
        <f>217867</f>
        <v>217867</v>
      </c>
      <c r="AE86" s="5" t="s">
        <v>3</v>
      </c>
      <c r="AF86" s="5" t="s">
        <v>3</v>
      </c>
    </row>
    <row r="87" spans="1:32" s="1" customFormat="1" ht="12.95" customHeight="1" x14ac:dyDescent="0.2">
      <c r="A87" s="30" t="s">
        <v>241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</row>
    <row r="88" spans="1:32" s="1" customFormat="1" ht="66" customHeight="1" x14ac:dyDescent="0.2">
      <c r="A88" s="7" t="s">
        <v>13</v>
      </c>
      <c r="B88" s="18" t="s">
        <v>118</v>
      </c>
      <c r="C88" s="18"/>
      <c r="D88" s="18"/>
      <c r="E88" s="18"/>
      <c r="F88" s="18"/>
      <c r="G88" s="18"/>
      <c r="H88" s="18"/>
      <c r="I88" s="18"/>
      <c r="J88" s="18" t="s">
        <v>119</v>
      </c>
      <c r="K88" s="18"/>
      <c r="L88" s="18"/>
      <c r="M88" s="21" t="s">
        <v>239</v>
      </c>
      <c r="N88" s="18"/>
      <c r="O88" s="18"/>
      <c r="P88" s="18"/>
      <c r="Q88" s="18"/>
      <c r="R88" s="18"/>
      <c r="S88" s="18"/>
      <c r="T88" s="18"/>
      <c r="U88" s="18"/>
      <c r="V88" s="4">
        <f>4500000</f>
        <v>4500000</v>
      </c>
      <c r="W88" s="19" t="s">
        <v>3</v>
      </c>
      <c r="X88" s="19"/>
      <c r="Y88" s="19"/>
      <c r="Z88" s="19"/>
      <c r="AA88" s="19"/>
      <c r="AB88" s="19"/>
      <c r="AC88" s="4">
        <f>92049.66</f>
        <v>92049.66</v>
      </c>
      <c r="AD88" s="4">
        <f>4592049.66</f>
        <v>4592049.66</v>
      </c>
      <c r="AE88" s="3" t="s">
        <v>3</v>
      </c>
      <c r="AF88" s="3" t="s">
        <v>3</v>
      </c>
    </row>
    <row r="89" spans="1:32" s="1" customFormat="1" ht="35.25" customHeight="1" x14ac:dyDescent="0.2">
      <c r="A89" s="7" t="s">
        <v>14</v>
      </c>
      <c r="B89" s="18" t="s">
        <v>120</v>
      </c>
      <c r="C89" s="18"/>
      <c r="D89" s="18"/>
      <c r="E89" s="18"/>
      <c r="F89" s="18"/>
      <c r="G89" s="18"/>
      <c r="H89" s="18"/>
      <c r="I89" s="18"/>
      <c r="J89" s="18" t="s">
        <v>52</v>
      </c>
      <c r="K89" s="18"/>
      <c r="L89" s="18"/>
      <c r="M89" s="21" t="s">
        <v>240</v>
      </c>
      <c r="N89" s="18"/>
      <c r="O89" s="18"/>
      <c r="P89" s="18"/>
      <c r="Q89" s="18"/>
      <c r="R89" s="18"/>
      <c r="S89" s="18"/>
      <c r="T89" s="18"/>
      <c r="U89" s="18"/>
      <c r="V89" s="4">
        <f>3900000</f>
        <v>3900000</v>
      </c>
      <c r="W89" s="19" t="s">
        <v>3</v>
      </c>
      <c r="X89" s="19"/>
      <c r="Y89" s="19"/>
      <c r="Z89" s="19"/>
      <c r="AA89" s="19"/>
      <c r="AB89" s="19"/>
      <c r="AC89" s="3" t="s">
        <v>3</v>
      </c>
      <c r="AD89" s="4">
        <f>2600000</f>
        <v>2600000</v>
      </c>
      <c r="AE89" s="4">
        <f>1300000</f>
        <v>1300000</v>
      </c>
      <c r="AF89" s="3" t="s">
        <v>3</v>
      </c>
    </row>
    <row r="90" spans="1:32" s="1" customFormat="1" ht="24" customHeight="1" x14ac:dyDescent="0.2">
      <c r="A90" s="7" t="s">
        <v>15</v>
      </c>
      <c r="B90" s="18" t="s">
        <v>121</v>
      </c>
      <c r="C90" s="18"/>
      <c r="D90" s="18"/>
      <c r="E90" s="18"/>
      <c r="F90" s="18"/>
      <c r="G90" s="18"/>
      <c r="H90" s="18"/>
      <c r="I90" s="18"/>
      <c r="J90" s="18" t="s">
        <v>96</v>
      </c>
      <c r="K90" s="18"/>
      <c r="L90" s="18"/>
      <c r="M90" s="18" t="s">
        <v>26</v>
      </c>
      <c r="N90" s="18"/>
      <c r="O90" s="18"/>
      <c r="P90" s="18"/>
      <c r="Q90" s="18"/>
      <c r="R90" s="18"/>
      <c r="S90" s="18"/>
      <c r="T90" s="18"/>
      <c r="U90" s="18"/>
      <c r="V90" s="4">
        <f>5000000</f>
        <v>5000000</v>
      </c>
      <c r="W90" s="19" t="s">
        <v>3</v>
      </c>
      <c r="X90" s="19"/>
      <c r="Y90" s="19"/>
      <c r="Z90" s="19"/>
      <c r="AA90" s="19"/>
      <c r="AB90" s="19"/>
      <c r="AC90" s="4">
        <f>198904.11</f>
        <v>198904.11</v>
      </c>
      <c r="AD90" s="4">
        <f>823904.11</f>
        <v>823904.11</v>
      </c>
      <c r="AE90" s="4">
        <f>4375000</f>
        <v>4375000</v>
      </c>
      <c r="AF90" s="3" t="s">
        <v>3</v>
      </c>
    </row>
    <row r="91" spans="1:32" s="1" customFormat="1" ht="24" customHeight="1" x14ac:dyDescent="0.2">
      <c r="A91" s="7" t="s">
        <v>16</v>
      </c>
      <c r="B91" s="18" t="s">
        <v>122</v>
      </c>
      <c r="C91" s="18"/>
      <c r="D91" s="18"/>
      <c r="E91" s="18"/>
      <c r="F91" s="18"/>
      <c r="G91" s="18"/>
      <c r="H91" s="18"/>
      <c r="I91" s="18"/>
      <c r="J91" s="18" t="s">
        <v>123</v>
      </c>
      <c r="K91" s="18"/>
      <c r="L91" s="18"/>
      <c r="M91" s="18" t="s">
        <v>26</v>
      </c>
      <c r="N91" s="18"/>
      <c r="O91" s="18"/>
      <c r="P91" s="18"/>
      <c r="Q91" s="18"/>
      <c r="R91" s="18"/>
      <c r="S91" s="18"/>
      <c r="T91" s="18"/>
      <c r="U91" s="18"/>
      <c r="V91" s="4">
        <f>3900000</f>
        <v>3900000</v>
      </c>
      <c r="W91" s="19" t="s">
        <v>3</v>
      </c>
      <c r="X91" s="19"/>
      <c r="Y91" s="19"/>
      <c r="Z91" s="19"/>
      <c r="AA91" s="19"/>
      <c r="AB91" s="19"/>
      <c r="AC91" s="4">
        <f>157348.98</f>
        <v>157348.98000000001</v>
      </c>
      <c r="AD91" s="4">
        <f>157348.98</f>
        <v>157348.98000000001</v>
      </c>
      <c r="AE91" s="4">
        <f>3900000</f>
        <v>3900000</v>
      </c>
      <c r="AF91" s="3" t="s">
        <v>3</v>
      </c>
    </row>
    <row r="92" spans="1:32" s="1" customFormat="1" ht="24.75" customHeight="1" x14ac:dyDescent="0.2">
      <c r="A92" s="7" t="s">
        <v>17</v>
      </c>
      <c r="B92" s="18" t="s">
        <v>124</v>
      </c>
      <c r="C92" s="18"/>
      <c r="D92" s="18"/>
      <c r="E92" s="18"/>
      <c r="F92" s="18"/>
      <c r="G92" s="18"/>
      <c r="H92" s="18"/>
      <c r="I92" s="18"/>
      <c r="J92" s="18" t="s">
        <v>125</v>
      </c>
      <c r="K92" s="18"/>
      <c r="L92" s="18"/>
      <c r="M92" s="21" t="s">
        <v>232</v>
      </c>
      <c r="N92" s="18"/>
      <c r="O92" s="18"/>
      <c r="P92" s="18"/>
      <c r="Q92" s="18"/>
      <c r="R92" s="18"/>
      <c r="S92" s="18"/>
      <c r="T92" s="18"/>
      <c r="U92" s="18"/>
      <c r="V92" s="4">
        <f>665388</f>
        <v>665388</v>
      </c>
      <c r="W92" s="19" t="s">
        <v>3</v>
      </c>
      <c r="X92" s="19"/>
      <c r="Y92" s="19"/>
      <c r="Z92" s="19"/>
      <c r="AA92" s="19"/>
      <c r="AB92" s="19"/>
      <c r="AC92" s="3" t="s">
        <v>3</v>
      </c>
      <c r="AD92" s="4">
        <f>433000</f>
        <v>433000</v>
      </c>
      <c r="AE92" s="4">
        <f>232388</f>
        <v>232388</v>
      </c>
      <c r="AF92" s="3" t="s">
        <v>3</v>
      </c>
    </row>
    <row r="93" spans="1:32" s="1" customFormat="1" ht="13.5" customHeight="1" x14ac:dyDescent="0.2">
      <c r="A93" s="7" t="s">
        <v>18</v>
      </c>
      <c r="B93" s="18" t="s">
        <v>126</v>
      </c>
      <c r="C93" s="18"/>
      <c r="D93" s="18"/>
      <c r="E93" s="18"/>
      <c r="F93" s="18"/>
      <c r="G93" s="18"/>
      <c r="H93" s="18"/>
      <c r="I93" s="18"/>
      <c r="J93" s="18" t="s">
        <v>116</v>
      </c>
      <c r="K93" s="18"/>
      <c r="L93" s="18"/>
      <c r="M93" s="21" t="s">
        <v>232</v>
      </c>
      <c r="N93" s="18"/>
      <c r="O93" s="18"/>
      <c r="P93" s="18"/>
      <c r="Q93" s="18"/>
      <c r="R93" s="18"/>
      <c r="S93" s="18"/>
      <c r="T93" s="18"/>
      <c r="U93" s="18"/>
      <c r="V93" s="4">
        <f>580265</f>
        <v>580265</v>
      </c>
      <c r="W93" s="19" t="s">
        <v>3</v>
      </c>
      <c r="X93" s="19"/>
      <c r="Y93" s="19"/>
      <c r="Z93" s="19"/>
      <c r="AA93" s="19"/>
      <c r="AB93" s="19"/>
      <c r="AC93" s="3" t="s">
        <v>3</v>
      </c>
      <c r="AD93" s="4">
        <f>99345</f>
        <v>99345</v>
      </c>
      <c r="AE93" s="4">
        <f>480920</f>
        <v>480920</v>
      </c>
      <c r="AF93" s="3" t="s">
        <v>3</v>
      </c>
    </row>
    <row r="94" spans="1:32" s="1" customFormat="1" ht="23.25" customHeight="1" x14ac:dyDescent="0.2">
      <c r="A94" s="7" t="s">
        <v>19</v>
      </c>
      <c r="B94" s="18" t="s">
        <v>127</v>
      </c>
      <c r="C94" s="18"/>
      <c r="D94" s="18"/>
      <c r="E94" s="18"/>
      <c r="F94" s="18"/>
      <c r="G94" s="18"/>
      <c r="H94" s="18"/>
      <c r="I94" s="18"/>
      <c r="J94" s="18" t="s">
        <v>125</v>
      </c>
      <c r="K94" s="18"/>
      <c r="L94" s="18"/>
      <c r="M94" s="21" t="s">
        <v>232</v>
      </c>
      <c r="N94" s="18"/>
      <c r="O94" s="18"/>
      <c r="P94" s="18"/>
      <c r="Q94" s="18"/>
      <c r="R94" s="18"/>
      <c r="S94" s="18"/>
      <c r="T94" s="18"/>
      <c r="U94" s="18"/>
      <c r="V94" s="4">
        <f>234514</f>
        <v>234514</v>
      </c>
      <c r="W94" s="19" t="s">
        <v>3</v>
      </c>
      <c r="X94" s="19"/>
      <c r="Y94" s="19"/>
      <c r="Z94" s="19"/>
      <c r="AA94" s="19"/>
      <c r="AB94" s="19"/>
      <c r="AC94" s="3" t="s">
        <v>3</v>
      </c>
      <c r="AD94" s="4">
        <f>98068</f>
        <v>98068</v>
      </c>
      <c r="AE94" s="4">
        <f>136446</f>
        <v>136446</v>
      </c>
      <c r="AF94" s="3" t="s">
        <v>3</v>
      </c>
    </row>
    <row r="95" spans="1:32" s="1" customFormat="1" ht="22.5" customHeight="1" x14ac:dyDescent="0.2">
      <c r="A95" s="7" t="s">
        <v>20</v>
      </c>
      <c r="B95" s="18" t="s">
        <v>128</v>
      </c>
      <c r="C95" s="18"/>
      <c r="D95" s="18"/>
      <c r="E95" s="18"/>
      <c r="F95" s="18"/>
      <c r="G95" s="18"/>
      <c r="H95" s="18"/>
      <c r="I95" s="18"/>
      <c r="J95" s="18" t="s">
        <v>116</v>
      </c>
      <c r="K95" s="18"/>
      <c r="L95" s="18"/>
      <c r="M95" s="21" t="s">
        <v>232</v>
      </c>
      <c r="N95" s="18"/>
      <c r="O95" s="18"/>
      <c r="P95" s="18"/>
      <c r="Q95" s="18"/>
      <c r="R95" s="18"/>
      <c r="S95" s="18"/>
      <c r="T95" s="18"/>
      <c r="U95" s="18"/>
      <c r="V95" s="4">
        <f>110255</f>
        <v>110255</v>
      </c>
      <c r="W95" s="19" t="s">
        <v>3</v>
      </c>
      <c r="X95" s="19"/>
      <c r="Y95" s="19"/>
      <c r="Z95" s="19"/>
      <c r="AA95" s="19"/>
      <c r="AB95" s="19"/>
      <c r="AC95" s="3" t="s">
        <v>3</v>
      </c>
      <c r="AD95" s="4">
        <f>17816</f>
        <v>17816</v>
      </c>
      <c r="AE95" s="4">
        <f>92439</f>
        <v>92439</v>
      </c>
      <c r="AF95" s="3" t="s">
        <v>3</v>
      </c>
    </row>
    <row r="96" spans="1:32" s="1" customFormat="1" ht="24" customHeight="1" x14ac:dyDescent="0.2">
      <c r="A96" s="7" t="s">
        <v>21</v>
      </c>
      <c r="B96" s="18" t="s">
        <v>129</v>
      </c>
      <c r="C96" s="18"/>
      <c r="D96" s="18"/>
      <c r="E96" s="18"/>
      <c r="F96" s="18"/>
      <c r="G96" s="18"/>
      <c r="H96" s="18"/>
      <c r="I96" s="18"/>
      <c r="J96" s="18" t="s">
        <v>69</v>
      </c>
      <c r="K96" s="18"/>
      <c r="L96" s="18"/>
      <c r="M96" s="18" t="s">
        <v>26</v>
      </c>
      <c r="N96" s="18"/>
      <c r="O96" s="18"/>
      <c r="P96" s="18"/>
      <c r="Q96" s="18"/>
      <c r="R96" s="18"/>
      <c r="S96" s="18"/>
      <c r="T96" s="18"/>
      <c r="U96" s="18"/>
      <c r="V96" s="3" t="s">
        <v>3</v>
      </c>
      <c r="W96" s="19" t="s">
        <v>3</v>
      </c>
      <c r="X96" s="19"/>
      <c r="Y96" s="19"/>
      <c r="Z96" s="19"/>
      <c r="AA96" s="19"/>
      <c r="AB96" s="19"/>
      <c r="AC96" s="4">
        <f>3900000</f>
        <v>3900000</v>
      </c>
      <c r="AD96" s="3" t="s">
        <v>3</v>
      </c>
      <c r="AE96" s="4">
        <f>3900000</f>
        <v>3900000</v>
      </c>
      <c r="AF96" s="3" t="s">
        <v>3</v>
      </c>
    </row>
    <row r="97" spans="1:32" s="1" customFormat="1" ht="12" customHeight="1" x14ac:dyDescent="0.2">
      <c r="A97" s="23" t="s">
        <v>221</v>
      </c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6">
        <f>18890422</f>
        <v>18890422</v>
      </c>
      <c r="W97" s="22" t="s">
        <v>3</v>
      </c>
      <c r="X97" s="22"/>
      <c r="Y97" s="22"/>
      <c r="Z97" s="22"/>
      <c r="AA97" s="22"/>
      <c r="AB97" s="22"/>
      <c r="AC97" s="6">
        <f>4348302.75</f>
        <v>4348302.75</v>
      </c>
      <c r="AD97" s="6">
        <f>8821531.75</f>
        <v>8821531.75</v>
      </c>
      <c r="AE97" s="6">
        <f>14417193</f>
        <v>14417193</v>
      </c>
      <c r="AF97" s="5" t="s">
        <v>3</v>
      </c>
    </row>
    <row r="98" spans="1:32" s="1" customFormat="1" ht="12.95" customHeight="1" x14ac:dyDescent="0.2">
      <c r="A98" s="24" t="s">
        <v>242</v>
      </c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7"/>
    </row>
    <row r="99" spans="1:32" s="1" customFormat="1" ht="22.5" customHeight="1" x14ac:dyDescent="0.2">
      <c r="A99" s="7" t="s">
        <v>13</v>
      </c>
      <c r="B99" s="18" t="s">
        <v>130</v>
      </c>
      <c r="C99" s="18"/>
      <c r="D99" s="18"/>
      <c r="E99" s="18"/>
      <c r="F99" s="18"/>
      <c r="G99" s="18"/>
      <c r="H99" s="18"/>
      <c r="I99" s="18"/>
      <c r="J99" s="18" t="s">
        <v>125</v>
      </c>
      <c r="K99" s="18"/>
      <c r="L99" s="18"/>
      <c r="M99" s="21" t="s">
        <v>232</v>
      </c>
      <c r="N99" s="18"/>
      <c r="O99" s="18"/>
      <c r="P99" s="18"/>
      <c r="Q99" s="18"/>
      <c r="R99" s="18"/>
      <c r="S99" s="18"/>
      <c r="T99" s="18"/>
      <c r="U99" s="18"/>
      <c r="V99" s="4">
        <f>851732</f>
        <v>851732</v>
      </c>
      <c r="W99" s="19" t="s">
        <v>3</v>
      </c>
      <c r="X99" s="19"/>
      <c r="Y99" s="19"/>
      <c r="Z99" s="19"/>
      <c r="AA99" s="19"/>
      <c r="AB99" s="19"/>
      <c r="AC99" s="3" t="s">
        <v>3</v>
      </c>
      <c r="AD99" s="3" t="s">
        <v>3</v>
      </c>
      <c r="AE99" s="4">
        <f>851732</f>
        <v>851732</v>
      </c>
      <c r="AF99" s="3" t="s">
        <v>3</v>
      </c>
    </row>
    <row r="100" spans="1:32" s="1" customFormat="1" ht="14.1" customHeight="1" x14ac:dyDescent="0.2">
      <c r="A100" s="7" t="s">
        <v>14</v>
      </c>
      <c r="B100" s="18" t="s">
        <v>131</v>
      </c>
      <c r="C100" s="18"/>
      <c r="D100" s="18"/>
      <c r="E100" s="18"/>
      <c r="F100" s="18"/>
      <c r="G100" s="18"/>
      <c r="H100" s="18"/>
      <c r="I100" s="18"/>
      <c r="J100" s="18" t="s">
        <v>132</v>
      </c>
      <c r="K100" s="18"/>
      <c r="L100" s="18"/>
      <c r="M100" s="21" t="s">
        <v>232</v>
      </c>
      <c r="N100" s="18"/>
      <c r="O100" s="18"/>
      <c r="P100" s="18"/>
      <c r="Q100" s="18"/>
      <c r="R100" s="18"/>
      <c r="S100" s="18"/>
      <c r="T100" s="18"/>
      <c r="U100" s="18"/>
      <c r="V100" s="4">
        <f>710800</f>
        <v>710800</v>
      </c>
      <c r="W100" s="19" t="s">
        <v>3</v>
      </c>
      <c r="X100" s="19"/>
      <c r="Y100" s="19"/>
      <c r="Z100" s="19"/>
      <c r="AA100" s="19"/>
      <c r="AB100" s="19"/>
      <c r="AC100" s="3" t="s">
        <v>3</v>
      </c>
      <c r="AD100" s="4">
        <f>174515</f>
        <v>174515</v>
      </c>
      <c r="AE100" s="4">
        <f>536285</f>
        <v>536285</v>
      </c>
      <c r="AF100" s="3" t="s">
        <v>3</v>
      </c>
    </row>
    <row r="101" spans="1:32" s="1" customFormat="1" ht="24" customHeight="1" x14ac:dyDescent="0.2">
      <c r="A101" s="7" t="s">
        <v>15</v>
      </c>
      <c r="B101" s="18" t="s">
        <v>133</v>
      </c>
      <c r="C101" s="18"/>
      <c r="D101" s="18"/>
      <c r="E101" s="18"/>
      <c r="F101" s="18"/>
      <c r="G101" s="18"/>
      <c r="H101" s="18"/>
      <c r="I101" s="18"/>
      <c r="J101" s="18" t="s">
        <v>125</v>
      </c>
      <c r="K101" s="18"/>
      <c r="L101" s="18"/>
      <c r="M101" s="21" t="s">
        <v>232</v>
      </c>
      <c r="N101" s="18"/>
      <c r="O101" s="18"/>
      <c r="P101" s="18"/>
      <c r="Q101" s="18"/>
      <c r="R101" s="18"/>
      <c r="S101" s="18"/>
      <c r="T101" s="18"/>
      <c r="U101" s="18"/>
      <c r="V101" s="4">
        <f>719796</f>
        <v>719796</v>
      </c>
      <c r="W101" s="19" t="s">
        <v>3</v>
      </c>
      <c r="X101" s="19"/>
      <c r="Y101" s="19"/>
      <c r="Z101" s="19"/>
      <c r="AA101" s="19"/>
      <c r="AB101" s="19"/>
      <c r="AC101" s="3" t="s">
        <v>3</v>
      </c>
      <c r="AD101" s="3" t="s">
        <v>3</v>
      </c>
      <c r="AE101" s="4">
        <f>719796</f>
        <v>719796</v>
      </c>
      <c r="AF101" s="3" t="s">
        <v>3</v>
      </c>
    </row>
    <row r="102" spans="1:32" s="1" customFormat="1" ht="14.1" customHeight="1" x14ac:dyDescent="0.2">
      <c r="A102" s="7" t="s">
        <v>16</v>
      </c>
      <c r="B102" s="18" t="s">
        <v>134</v>
      </c>
      <c r="C102" s="18"/>
      <c r="D102" s="18"/>
      <c r="E102" s="18"/>
      <c r="F102" s="18"/>
      <c r="G102" s="18"/>
      <c r="H102" s="18"/>
      <c r="I102" s="18"/>
      <c r="J102" s="18" t="s">
        <v>132</v>
      </c>
      <c r="K102" s="18"/>
      <c r="L102" s="18"/>
      <c r="M102" s="21" t="s">
        <v>243</v>
      </c>
      <c r="N102" s="18"/>
      <c r="O102" s="18"/>
      <c r="P102" s="18"/>
      <c r="Q102" s="18"/>
      <c r="R102" s="18"/>
      <c r="S102" s="18"/>
      <c r="T102" s="18"/>
      <c r="U102" s="18"/>
      <c r="V102" s="4">
        <f>387043</f>
        <v>387043</v>
      </c>
      <c r="W102" s="19" t="s">
        <v>3</v>
      </c>
      <c r="X102" s="19"/>
      <c r="Y102" s="19"/>
      <c r="Z102" s="19"/>
      <c r="AA102" s="19"/>
      <c r="AB102" s="19"/>
      <c r="AC102" s="3" t="s">
        <v>3</v>
      </c>
      <c r="AD102" s="4">
        <f>115431</f>
        <v>115431</v>
      </c>
      <c r="AE102" s="4">
        <f>271612</f>
        <v>271612</v>
      </c>
      <c r="AF102" s="3" t="s">
        <v>3</v>
      </c>
    </row>
    <row r="103" spans="1:32" s="1" customFormat="1" ht="12" customHeight="1" x14ac:dyDescent="0.2">
      <c r="A103" s="23" t="s">
        <v>221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6">
        <f>2669371</f>
        <v>2669371</v>
      </c>
      <c r="W103" s="22" t="s">
        <v>3</v>
      </c>
      <c r="X103" s="22"/>
      <c r="Y103" s="22"/>
      <c r="Z103" s="22"/>
      <c r="AA103" s="22"/>
      <c r="AB103" s="22"/>
      <c r="AC103" s="5" t="s">
        <v>3</v>
      </c>
      <c r="AD103" s="6">
        <f>289946</f>
        <v>289946</v>
      </c>
      <c r="AE103" s="6">
        <f>2379425</f>
        <v>2379425</v>
      </c>
      <c r="AF103" s="5" t="s">
        <v>3</v>
      </c>
    </row>
    <row r="104" spans="1:32" s="1" customFormat="1" ht="12.95" customHeight="1" x14ac:dyDescent="0.2">
      <c r="A104" s="24" t="s">
        <v>135</v>
      </c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7"/>
    </row>
    <row r="105" spans="1:32" s="1" customFormat="1" ht="14.1" customHeight="1" x14ac:dyDescent="0.2">
      <c r="A105" s="7" t="s">
        <v>13</v>
      </c>
      <c r="B105" s="18" t="s">
        <v>136</v>
      </c>
      <c r="C105" s="18"/>
      <c r="D105" s="18"/>
      <c r="E105" s="18"/>
      <c r="F105" s="18"/>
      <c r="G105" s="18"/>
      <c r="H105" s="18"/>
      <c r="I105" s="18"/>
      <c r="J105" s="18" t="s">
        <v>137</v>
      </c>
      <c r="K105" s="18"/>
      <c r="L105" s="18"/>
      <c r="M105" s="21" t="s">
        <v>232</v>
      </c>
      <c r="N105" s="18"/>
      <c r="O105" s="18"/>
      <c r="P105" s="18"/>
      <c r="Q105" s="18"/>
      <c r="R105" s="18"/>
      <c r="S105" s="18"/>
      <c r="T105" s="18"/>
      <c r="U105" s="18"/>
      <c r="V105" s="4">
        <f>13500</f>
        <v>13500</v>
      </c>
      <c r="W105" s="19" t="s">
        <v>3</v>
      </c>
      <c r="X105" s="19"/>
      <c r="Y105" s="19"/>
      <c r="Z105" s="19"/>
      <c r="AA105" s="19"/>
      <c r="AB105" s="19"/>
      <c r="AC105" s="3" t="s">
        <v>3</v>
      </c>
      <c r="AD105" s="4">
        <f>4500</f>
        <v>4500</v>
      </c>
      <c r="AE105" s="4">
        <f>9000</f>
        <v>9000</v>
      </c>
      <c r="AF105" s="3" t="s">
        <v>3</v>
      </c>
    </row>
    <row r="106" spans="1:32" s="1" customFormat="1" ht="12.95" customHeight="1" x14ac:dyDescent="0.2">
      <c r="A106" s="24" t="s">
        <v>244</v>
      </c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7"/>
    </row>
    <row r="107" spans="1:32" s="1" customFormat="1" ht="14.1" customHeight="1" x14ac:dyDescent="0.2">
      <c r="A107" s="7" t="s">
        <v>13</v>
      </c>
      <c r="B107" s="18" t="s">
        <v>138</v>
      </c>
      <c r="C107" s="18"/>
      <c r="D107" s="18"/>
      <c r="E107" s="18"/>
      <c r="F107" s="18"/>
      <c r="G107" s="18"/>
      <c r="H107" s="18"/>
      <c r="I107" s="18"/>
      <c r="J107" s="18" t="s">
        <v>139</v>
      </c>
      <c r="K107" s="18"/>
      <c r="L107" s="18"/>
      <c r="M107" s="21" t="s">
        <v>232</v>
      </c>
      <c r="N107" s="18"/>
      <c r="O107" s="18"/>
      <c r="P107" s="18"/>
      <c r="Q107" s="18"/>
      <c r="R107" s="18"/>
      <c r="S107" s="18"/>
      <c r="T107" s="18"/>
      <c r="U107" s="18"/>
      <c r="V107" s="4">
        <f>36355.4</f>
        <v>36355.4</v>
      </c>
      <c r="W107" s="19" t="s">
        <v>3</v>
      </c>
      <c r="X107" s="19"/>
      <c r="Y107" s="19"/>
      <c r="Z107" s="19"/>
      <c r="AA107" s="19"/>
      <c r="AB107" s="19"/>
      <c r="AC107" s="3" t="s">
        <v>3</v>
      </c>
      <c r="AD107" s="4">
        <f>14446</f>
        <v>14446</v>
      </c>
      <c r="AE107" s="4">
        <f>21909.4</f>
        <v>21909.4</v>
      </c>
      <c r="AF107" s="3" t="s">
        <v>3</v>
      </c>
    </row>
    <row r="108" spans="1:32" s="1" customFormat="1" ht="14.1" customHeight="1" x14ac:dyDescent="0.2">
      <c r="A108" s="7" t="s">
        <v>14</v>
      </c>
      <c r="B108" s="18" t="s">
        <v>140</v>
      </c>
      <c r="C108" s="18"/>
      <c r="D108" s="18"/>
      <c r="E108" s="18"/>
      <c r="F108" s="18"/>
      <c r="G108" s="18"/>
      <c r="H108" s="18"/>
      <c r="I108" s="18"/>
      <c r="J108" s="18" t="s">
        <v>139</v>
      </c>
      <c r="K108" s="18"/>
      <c r="L108" s="18"/>
      <c r="M108" s="21" t="s">
        <v>232</v>
      </c>
      <c r="N108" s="18"/>
      <c r="O108" s="18"/>
      <c r="P108" s="18"/>
      <c r="Q108" s="18"/>
      <c r="R108" s="18"/>
      <c r="S108" s="18"/>
      <c r="T108" s="18"/>
      <c r="U108" s="18"/>
      <c r="V108" s="4">
        <f>89424</f>
        <v>89424</v>
      </c>
      <c r="W108" s="19" t="s">
        <v>3</v>
      </c>
      <c r="X108" s="19"/>
      <c r="Y108" s="19"/>
      <c r="Z108" s="19"/>
      <c r="AA108" s="19"/>
      <c r="AB108" s="19"/>
      <c r="AC108" s="3" t="s">
        <v>3</v>
      </c>
      <c r="AD108" s="4">
        <f>37512</f>
        <v>37512</v>
      </c>
      <c r="AE108" s="4">
        <f>51912</f>
        <v>51912</v>
      </c>
      <c r="AF108" s="3" t="s">
        <v>3</v>
      </c>
    </row>
    <row r="109" spans="1:32" s="1" customFormat="1" ht="12" customHeight="1" x14ac:dyDescent="0.2">
      <c r="A109" s="23" t="s">
        <v>221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6">
        <f>125779.4</f>
        <v>125779.4</v>
      </c>
      <c r="W109" s="22" t="s">
        <v>3</v>
      </c>
      <c r="X109" s="22"/>
      <c r="Y109" s="22"/>
      <c r="Z109" s="22"/>
      <c r="AA109" s="22"/>
      <c r="AB109" s="22"/>
      <c r="AC109" s="5" t="s">
        <v>3</v>
      </c>
      <c r="AD109" s="6">
        <f>51958</f>
        <v>51958</v>
      </c>
      <c r="AE109" s="6">
        <f>73821.4</f>
        <v>73821.399999999994</v>
      </c>
      <c r="AF109" s="5" t="s">
        <v>3</v>
      </c>
    </row>
    <row r="110" spans="1:32" s="1" customFormat="1" ht="12.95" customHeight="1" x14ac:dyDescent="0.2">
      <c r="A110" s="20" t="s">
        <v>141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</row>
    <row r="111" spans="1:32" s="1" customFormat="1" ht="53.25" customHeight="1" x14ac:dyDescent="0.2">
      <c r="A111" s="7" t="s">
        <v>13</v>
      </c>
      <c r="B111" s="18" t="s">
        <v>142</v>
      </c>
      <c r="C111" s="18"/>
      <c r="D111" s="18"/>
      <c r="E111" s="18"/>
      <c r="F111" s="18"/>
      <c r="G111" s="18"/>
      <c r="H111" s="18"/>
      <c r="I111" s="18"/>
      <c r="J111" s="18" t="s">
        <v>143</v>
      </c>
      <c r="K111" s="18"/>
      <c r="L111" s="18"/>
      <c r="M111" s="21" t="s">
        <v>245</v>
      </c>
      <c r="N111" s="18"/>
      <c r="O111" s="18"/>
      <c r="P111" s="18"/>
      <c r="Q111" s="18"/>
      <c r="R111" s="18"/>
      <c r="S111" s="18"/>
      <c r="T111" s="18"/>
      <c r="U111" s="18"/>
      <c r="V111" s="4">
        <f>1344000</f>
        <v>1344000</v>
      </c>
      <c r="W111" s="19" t="s">
        <v>3</v>
      </c>
      <c r="X111" s="19"/>
      <c r="Y111" s="19"/>
      <c r="Z111" s="19"/>
      <c r="AA111" s="19"/>
      <c r="AB111" s="19"/>
      <c r="AC111" s="4">
        <f>350608.64</f>
        <v>350608.64000000001</v>
      </c>
      <c r="AD111" s="4">
        <f>1694608.64</f>
        <v>1694608.64</v>
      </c>
      <c r="AE111" s="3" t="s">
        <v>3</v>
      </c>
      <c r="AF111" s="3" t="s">
        <v>3</v>
      </c>
    </row>
    <row r="112" spans="1:32" s="1" customFormat="1" ht="25.5" customHeight="1" x14ac:dyDescent="0.2">
      <c r="A112" s="7" t="s">
        <v>14</v>
      </c>
      <c r="B112" s="18" t="s">
        <v>144</v>
      </c>
      <c r="C112" s="18"/>
      <c r="D112" s="18"/>
      <c r="E112" s="18"/>
      <c r="F112" s="18"/>
      <c r="G112" s="18"/>
      <c r="H112" s="18"/>
      <c r="I112" s="18"/>
      <c r="J112" s="18" t="s">
        <v>145</v>
      </c>
      <c r="K112" s="18"/>
      <c r="L112" s="18"/>
      <c r="M112" s="18" t="s">
        <v>26</v>
      </c>
      <c r="N112" s="18"/>
      <c r="O112" s="18"/>
      <c r="P112" s="18"/>
      <c r="Q112" s="18"/>
      <c r="R112" s="18"/>
      <c r="S112" s="18"/>
      <c r="T112" s="18"/>
      <c r="U112" s="18"/>
      <c r="V112" s="4">
        <f>1753000</f>
        <v>1753000</v>
      </c>
      <c r="W112" s="19" t="s">
        <v>3</v>
      </c>
      <c r="X112" s="19"/>
      <c r="Y112" s="19"/>
      <c r="Z112" s="19"/>
      <c r="AA112" s="19"/>
      <c r="AB112" s="19"/>
      <c r="AC112" s="4">
        <f>69537.67</f>
        <v>69537.67</v>
      </c>
      <c r="AD112" s="4">
        <f>1822537.67</f>
        <v>1822537.67</v>
      </c>
      <c r="AE112" s="3" t="s">
        <v>3</v>
      </c>
      <c r="AF112" s="3" t="s">
        <v>3</v>
      </c>
    </row>
    <row r="113" spans="1:32" s="1" customFormat="1" ht="14.1" customHeight="1" x14ac:dyDescent="0.2">
      <c r="A113" s="7" t="s">
        <v>15</v>
      </c>
      <c r="B113" s="18" t="s">
        <v>146</v>
      </c>
      <c r="C113" s="18"/>
      <c r="D113" s="18"/>
      <c r="E113" s="18"/>
      <c r="F113" s="18"/>
      <c r="G113" s="18"/>
      <c r="H113" s="18"/>
      <c r="I113" s="18"/>
      <c r="J113" s="18" t="s">
        <v>147</v>
      </c>
      <c r="K113" s="18"/>
      <c r="L113" s="18"/>
      <c r="M113" s="21" t="s">
        <v>232</v>
      </c>
      <c r="N113" s="18"/>
      <c r="O113" s="18"/>
      <c r="P113" s="18"/>
      <c r="Q113" s="18"/>
      <c r="R113" s="18"/>
      <c r="S113" s="18"/>
      <c r="T113" s="18"/>
      <c r="U113" s="18"/>
      <c r="V113" s="4">
        <f>227993.3</f>
        <v>227993.3</v>
      </c>
      <c r="W113" s="19" t="s">
        <v>3</v>
      </c>
      <c r="X113" s="19"/>
      <c r="Y113" s="19"/>
      <c r="Z113" s="19"/>
      <c r="AA113" s="19"/>
      <c r="AB113" s="19"/>
      <c r="AC113" s="3" t="s">
        <v>3</v>
      </c>
      <c r="AD113" s="4">
        <f>46566.9</f>
        <v>46566.9</v>
      </c>
      <c r="AE113" s="4">
        <f>181426.4</f>
        <v>181426.4</v>
      </c>
      <c r="AF113" s="3" t="s">
        <v>3</v>
      </c>
    </row>
    <row r="114" spans="1:32" s="1" customFormat="1" ht="14.1" customHeight="1" x14ac:dyDescent="0.2">
      <c r="A114" s="7" t="s">
        <v>16</v>
      </c>
      <c r="B114" s="18" t="s">
        <v>148</v>
      </c>
      <c r="C114" s="18"/>
      <c r="D114" s="18"/>
      <c r="E114" s="18"/>
      <c r="F114" s="18"/>
      <c r="G114" s="18"/>
      <c r="H114" s="18"/>
      <c r="I114" s="18"/>
      <c r="J114" s="18" t="s">
        <v>147</v>
      </c>
      <c r="K114" s="18"/>
      <c r="L114" s="18"/>
      <c r="M114" s="21" t="s">
        <v>232</v>
      </c>
      <c r="N114" s="18"/>
      <c r="O114" s="18"/>
      <c r="P114" s="18"/>
      <c r="Q114" s="18"/>
      <c r="R114" s="18"/>
      <c r="S114" s="18"/>
      <c r="T114" s="18"/>
      <c r="U114" s="18"/>
      <c r="V114" s="4">
        <f>146275.1</f>
        <v>146275.1</v>
      </c>
      <c r="W114" s="19" t="s">
        <v>3</v>
      </c>
      <c r="X114" s="19"/>
      <c r="Y114" s="19"/>
      <c r="Z114" s="19"/>
      <c r="AA114" s="19"/>
      <c r="AB114" s="19"/>
      <c r="AC114" s="3" t="s">
        <v>3</v>
      </c>
      <c r="AD114" s="4">
        <f>30193.2</f>
        <v>30193.200000000001</v>
      </c>
      <c r="AE114" s="4">
        <f>116081.9</f>
        <v>116081.9</v>
      </c>
      <c r="AF114" s="3" t="s">
        <v>3</v>
      </c>
    </row>
    <row r="115" spans="1:32" s="1" customFormat="1" ht="12" customHeight="1" x14ac:dyDescent="0.2">
      <c r="A115" s="23" t="s">
        <v>221</v>
      </c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6">
        <f>3471268.4</f>
        <v>3471268.4</v>
      </c>
      <c r="W115" s="22" t="s">
        <v>3</v>
      </c>
      <c r="X115" s="22"/>
      <c r="Y115" s="22"/>
      <c r="Z115" s="22"/>
      <c r="AA115" s="22"/>
      <c r="AB115" s="22"/>
      <c r="AC115" s="6">
        <f>420146.31</f>
        <v>420146.31</v>
      </c>
      <c r="AD115" s="6">
        <f>3593906.41</f>
        <v>3593906.41</v>
      </c>
      <c r="AE115" s="6">
        <f>297508.3</f>
        <v>297508.3</v>
      </c>
      <c r="AF115" s="5" t="s">
        <v>3</v>
      </c>
    </row>
    <row r="116" spans="1:32" s="1" customFormat="1" ht="12.95" customHeight="1" x14ac:dyDescent="0.2">
      <c r="A116" s="24" t="s">
        <v>246</v>
      </c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7"/>
    </row>
    <row r="117" spans="1:32" s="1" customFormat="1" ht="14.1" customHeight="1" x14ac:dyDescent="0.2">
      <c r="A117" s="7" t="s">
        <v>13</v>
      </c>
      <c r="B117" s="18" t="s">
        <v>149</v>
      </c>
      <c r="C117" s="18"/>
      <c r="D117" s="18"/>
      <c r="E117" s="18"/>
      <c r="F117" s="18"/>
      <c r="G117" s="18"/>
      <c r="H117" s="18"/>
      <c r="I117" s="18"/>
      <c r="J117" s="18" t="s">
        <v>150</v>
      </c>
      <c r="K117" s="18"/>
      <c r="L117" s="18"/>
      <c r="M117" s="21" t="s">
        <v>232</v>
      </c>
      <c r="N117" s="18"/>
      <c r="O117" s="18"/>
      <c r="P117" s="18"/>
      <c r="Q117" s="18"/>
      <c r="R117" s="18"/>
      <c r="S117" s="18"/>
      <c r="T117" s="18"/>
      <c r="U117" s="18"/>
      <c r="V117" s="4">
        <f>13157</f>
        <v>13157</v>
      </c>
      <c r="W117" s="19" t="s">
        <v>3</v>
      </c>
      <c r="X117" s="19"/>
      <c r="Y117" s="19"/>
      <c r="Z117" s="19"/>
      <c r="AA117" s="19"/>
      <c r="AB117" s="19"/>
      <c r="AC117" s="3" t="s">
        <v>3</v>
      </c>
      <c r="AD117" s="4">
        <f>13157</f>
        <v>13157</v>
      </c>
      <c r="AE117" s="3" t="s">
        <v>3</v>
      </c>
      <c r="AF117" s="3" t="s">
        <v>3</v>
      </c>
    </row>
    <row r="118" spans="1:32" s="1" customFormat="1" ht="12.95" customHeight="1" x14ac:dyDescent="0.2">
      <c r="A118" s="20" t="s">
        <v>151</v>
      </c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</row>
    <row r="119" spans="1:32" s="1" customFormat="1" ht="99.75" customHeight="1" x14ac:dyDescent="0.2">
      <c r="A119" s="7" t="s">
        <v>13</v>
      </c>
      <c r="B119" s="18" t="s">
        <v>152</v>
      </c>
      <c r="C119" s="18"/>
      <c r="D119" s="18"/>
      <c r="E119" s="18"/>
      <c r="F119" s="18"/>
      <c r="G119" s="18"/>
      <c r="H119" s="18"/>
      <c r="I119" s="18"/>
      <c r="J119" s="18" t="s">
        <v>52</v>
      </c>
      <c r="K119" s="18"/>
      <c r="L119" s="18"/>
      <c r="M119" s="21" t="s">
        <v>247</v>
      </c>
      <c r="N119" s="18"/>
      <c r="O119" s="18"/>
      <c r="P119" s="18"/>
      <c r="Q119" s="18"/>
      <c r="R119" s="18"/>
      <c r="S119" s="18"/>
      <c r="T119" s="18"/>
      <c r="U119" s="18"/>
      <c r="V119" s="4">
        <f>22500000</f>
        <v>22500000</v>
      </c>
      <c r="W119" s="19" t="s">
        <v>3</v>
      </c>
      <c r="X119" s="19"/>
      <c r="Y119" s="19"/>
      <c r="Z119" s="19"/>
      <c r="AA119" s="19"/>
      <c r="AB119" s="19"/>
      <c r="AC119" s="3" t="s">
        <v>3</v>
      </c>
      <c r="AD119" s="4">
        <f>15000000</f>
        <v>15000000</v>
      </c>
      <c r="AE119" s="4">
        <f>7500000</f>
        <v>7500000</v>
      </c>
      <c r="AF119" s="3" t="s">
        <v>3</v>
      </c>
    </row>
    <row r="120" spans="1:32" s="1" customFormat="1" ht="26.25" customHeight="1" x14ac:dyDescent="0.2">
      <c r="A120" s="7" t="s">
        <v>14</v>
      </c>
      <c r="B120" s="18" t="s">
        <v>153</v>
      </c>
      <c r="C120" s="18"/>
      <c r="D120" s="18"/>
      <c r="E120" s="18"/>
      <c r="F120" s="18"/>
      <c r="G120" s="18"/>
      <c r="H120" s="18"/>
      <c r="I120" s="18"/>
      <c r="J120" s="18" t="s">
        <v>154</v>
      </c>
      <c r="K120" s="18"/>
      <c r="L120" s="18"/>
      <c r="M120" s="18" t="s">
        <v>26</v>
      </c>
      <c r="N120" s="18"/>
      <c r="O120" s="18"/>
      <c r="P120" s="18"/>
      <c r="Q120" s="18"/>
      <c r="R120" s="18"/>
      <c r="S120" s="18"/>
      <c r="T120" s="18"/>
      <c r="U120" s="18"/>
      <c r="V120" s="4">
        <f>20000000</f>
        <v>20000000</v>
      </c>
      <c r="W120" s="19" t="s">
        <v>3</v>
      </c>
      <c r="X120" s="19"/>
      <c r="Y120" s="19"/>
      <c r="Z120" s="19"/>
      <c r="AA120" s="19"/>
      <c r="AB120" s="19"/>
      <c r="AC120" s="4">
        <f>786575.34</f>
        <v>786575.34</v>
      </c>
      <c r="AD120" s="4">
        <f>786575.34</f>
        <v>786575.34</v>
      </c>
      <c r="AE120" s="4">
        <f>20000000</f>
        <v>20000000</v>
      </c>
      <c r="AF120" s="3" t="s">
        <v>3</v>
      </c>
    </row>
    <row r="121" spans="1:32" s="1" customFormat="1" ht="14.1" customHeight="1" x14ac:dyDescent="0.2">
      <c r="A121" s="7" t="s">
        <v>15</v>
      </c>
      <c r="B121" s="18" t="s">
        <v>155</v>
      </c>
      <c r="C121" s="18"/>
      <c r="D121" s="18"/>
      <c r="E121" s="18"/>
      <c r="F121" s="18"/>
      <c r="G121" s="18"/>
      <c r="H121" s="18"/>
      <c r="I121" s="18"/>
      <c r="J121" s="18" t="s">
        <v>83</v>
      </c>
      <c r="K121" s="18"/>
      <c r="L121" s="18"/>
      <c r="M121" s="21" t="s">
        <v>232</v>
      </c>
      <c r="N121" s="18"/>
      <c r="O121" s="18"/>
      <c r="P121" s="18"/>
      <c r="Q121" s="18"/>
      <c r="R121" s="18"/>
      <c r="S121" s="18"/>
      <c r="T121" s="18"/>
      <c r="U121" s="18"/>
      <c r="V121" s="4">
        <f>452860</f>
        <v>452860</v>
      </c>
      <c r="W121" s="19" t="s">
        <v>3</v>
      </c>
      <c r="X121" s="19"/>
      <c r="Y121" s="19"/>
      <c r="Z121" s="19"/>
      <c r="AA121" s="19"/>
      <c r="AB121" s="19"/>
      <c r="AC121" s="3" t="s">
        <v>3</v>
      </c>
      <c r="AD121" s="4">
        <f>139690</f>
        <v>139690</v>
      </c>
      <c r="AE121" s="4">
        <f>313170</f>
        <v>313170</v>
      </c>
      <c r="AF121" s="3" t="s">
        <v>3</v>
      </c>
    </row>
    <row r="122" spans="1:32" s="1" customFormat="1" ht="14.1" customHeight="1" x14ac:dyDescent="0.2">
      <c r="A122" s="7" t="s">
        <v>16</v>
      </c>
      <c r="B122" s="18" t="s">
        <v>156</v>
      </c>
      <c r="C122" s="18"/>
      <c r="D122" s="18"/>
      <c r="E122" s="18"/>
      <c r="F122" s="18"/>
      <c r="G122" s="18"/>
      <c r="H122" s="18"/>
      <c r="I122" s="18"/>
      <c r="J122" s="18" t="s">
        <v>83</v>
      </c>
      <c r="K122" s="18"/>
      <c r="L122" s="18"/>
      <c r="M122" s="21" t="s">
        <v>232</v>
      </c>
      <c r="N122" s="18"/>
      <c r="O122" s="18"/>
      <c r="P122" s="18"/>
      <c r="Q122" s="18"/>
      <c r="R122" s="18"/>
      <c r="S122" s="18"/>
      <c r="T122" s="18"/>
      <c r="U122" s="18"/>
      <c r="V122" s="4">
        <f>304905</f>
        <v>304905</v>
      </c>
      <c r="W122" s="19" t="s">
        <v>3</v>
      </c>
      <c r="X122" s="19"/>
      <c r="Y122" s="19"/>
      <c r="Z122" s="19"/>
      <c r="AA122" s="19"/>
      <c r="AB122" s="19"/>
      <c r="AC122" s="3" t="s">
        <v>3</v>
      </c>
      <c r="AD122" s="4">
        <f>93644</f>
        <v>93644</v>
      </c>
      <c r="AE122" s="4">
        <f>211261</f>
        <v>211261</v>
      </c>
      <c r="AF122" s="3" t="s">
        <v>3</v>
      </c>
    </row>
    <row r="123" spans="1:32" s="1" customFormat="1" ht="14.1" customHeight="1" x14ac:dyDescent="0.2">
      <c r="A123" s="7" t="s">
        <v>17</v>
      </c>
      <c r="B123" s="18" t="s">
        <v>157</v>
      </c>
      <c r="C123" s="18"/>
      <c r="D123" s="18"/>
      <c r="E123" s="18"/>
      <c r="F123" s="18"/>
      <c r="G123" s="18"/>
      <c r="H123" s="18"/>
      <c r="I123" s="18"/>
      <c r="J123" s="18" t="s">
        <v>139</v>
      </c>
      <c r="K123" s="18"/>
      <c r="L123" s="18"/>
      <c r="M123" s="21" t="s">
        <v>232</v>
      </c>
      <c r="N123" s="18"/>
      <c r="O123" s="18"/>
      <c r="P123" s="18"/>
      <c r="Q123" s="18"/>
      <c r="R123" s="18"/>
      <c r="S123" s="18"/>
      <c r="T123" s="18"/>
      <c r="U123" s="18"/>
      <c r="V123" s="4">
        <f>7087</f>
        <v>7087</v>
      </c>
      <c r="W123" s="19" t="s">
        <v>3</v>
      </c>
      <c r="X123" s="19"/>
      <c r="Y123" s="19"/>
      <c r="Z123" s="19"/>
      <c r="AA123" s="19"/>
      <c r="AB123" s="19"/>
      <c r="AC123" s="3" t="s">
        <v>3</v>
      </c>
      <c r="AD123" s="4">
        <f>2080</f>
        <v>2080</v>
      </c>
      <c r="AE123" s="4">
        <f>5007</f>
        <v>5007</v>
      </c>
      <c r="AF123" s="3" t="s">
        <v>3</v>
      </c>
    </row>
    <row r="124" spans="1:32" s="1" customFormat="1" ht="45" customHeight="1" x14ac:dyDescent="0.2">
      <c r="A124" s="7" t="s">
        <v>18</v>
      </c>
      <c r="B124" s="18" t="s">
        <v>158</v>
      </c>
      <c r="C124" s="18"/>
      <c r="D124" s="18"/>
      <c r="E124" s="18"/>
      <c r="F124" s="18"/>
      <c r="G124" s="18"/>
      <c r="H124" s="18"/>
      <c r="I124" s="18"/>
      <c r="J124" s="18" t="s">
        <v>159</v>
      </c>
      <c r="K124" s="18"/>
      <c r="L124" s="18"/>
      <c r="M124" s="18" t="s">
        <v>160</v>
      </c>
      <c r="N124" s="18"/>
      <c r="O124" s="18"/>
      <c r="P124" s="18"/>
      <c r="Q124" s="18"/>
      <c r="R124" s="18"/>
      <c r="S124" s="18"/>
      <c r="T124" s="18"/>
      <c r="U124" s="18"/>
      <c r="V124" s="3" t="s">
        <v>3</v>
      </c>
      <c r="W124" s="19" t="s">
        <v>3</v>
      </c>
      <c r="X124" s="19"/>
      <c r="Y124" s="19"/>
      <c r="Z124" s="19"/>
      <c r="AA124" s="19"/>
      <c r="AB124" s="19"/>
      <c r="AC124" s="4">
        <f>46950000</f>
        <v>46950000</v>
      </c>
      <c r="AD124" s="3" t="s">
        <v>3</v>
      </c>
      <c r="AE124" s="4">
        <f>46950000</f>
        <v>46950000</v>
      </c>
      <c r="AF124" s="3" t="s">
        <v>3</v>
      </c>
    </row>
    <row r="125" spans="1:32" s="1" customFormat="1" ht="26.25" customHeight="1" x14ac:dyDescent="0.2">
      <c r="A125" s="7" t="s">
        <v>19</v>
      </c>
      <c r="B125" s="18" t="s">
        <v>161</v>
      </c>
      <c r="C125" s="18"/>
      <c r="D125" s="18"/>
      <c r="E125" s="18"/>
      <c r="F125" s="18"/>
      <c r="G125" s="18"/>
      <c r="H125" s="18"/>
      <c r="I125" s="18"/>
      <c r="J125" s="18" t="s">
        <v>58</v>
      </c>
      <c r="K125" s="18"/>
      <c r="L125" s="18"/>
      <c r="M125" s="18" t="s">
        <v>26</v>
      </c>
      <c r="N125" s="18"/>
      <c r="O125" s="18"/>
      <c r="P125" s="18"/>
      <c r="Q125" s="18"/>
      <c r="R125" s="18"/>
      <c r="S125" s="18"/>
      <c r="T125" s="18"/>
      <c r="U125" s="18"/>
      <c r="V125" s="3" t="s">
        <v>3</v>
      </c>
      <c r="W125" s="19" t="s">
        <v>3</v>
      </c>
      <c r="X125" s="19"/>
      <c r="Y125" s="19"/>
      <c r="Z125" s="19"/>
      <c r="AA125" s="19"/>
      <c r="AB125" s="19"/>
      <c r="AC125" s="4">
        <f>8000000</f>
        <v>8000000</v>
      </c>
      <c r="AD125" s="3" t="s">
        <v>3</v>
      </c>
      <c r="AE125" s="4">
        <f>8000000</f>
        <v>8000000</v>
      </c>
      <c r="AF125" s="3" t="s">
        <v>3</v>
      </c>
    </row>
    <row r="126" spans="1:32" s="1" customFormat="1" ht="12" customHeight="1" x14ac:dyDescent="0.2">
      <c r="A126" s="23" t="s">
        <v>221</v>
      </c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6">
        <f>43264852</f>
        <v>43264852</v>
      </c>
      <c r="W126" s="22" t="s">
        <v>3</v>
      </c>
      <c r="X126" s="22"/>
      <c r="Y126" s="22"/>
      <c r="Z126" s="22"/>
      <c r="AA126" s="22"/>
      <c r="AB126" s="22"/>
      <c r="AC126" s="6">
        <f>55736575.34</f>
        <v>55736575.340000004</v>
      </c>
      <c r="AD126" s="6">
        <f>16021989.34</f>
        <v>16021989.34</v>
      </c>
      <c r="AE126" s="6">
        <f>82979438</f>
        <v>82979438</v>
      </c>
      <c r="AF126" s="5" t="s">
        <v>3</v>
      </c>
    </row>
    <row r="127" spans="1:32" s="1" customFormat="1" ht="12.95" customHeight="1" x14ac:dyDescent="0.2">
      <c r="A127" s="30" t="s">
        <v>248</v>
      </c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</row>
    <row r="128" spans="1:32" s="1" customFormat="1" ht="33.950000000000003" customHeight="1" x14ac:dyDescent="0.2">
      <c r="A128" s="7" t="s">
        <v>13</v>
      </c>
      <c r="B128" s="18" t="s">
        <v>162</v>
      </c>
      <c r="C128" s="18"/>
      <c r="D128" s="18"/>
      <c r="E128" s="18"/>
      <c r="F128" s="18"/>
      <c r="G128" s="18"/>
      <c r="H128" s="18"/>
      <c r="I128" s="18"/>
      <c r="J128" s="18" t="s">
        <v>163</v>
      </c>
      <c r="K128" s="18"/>
      <c r="L128" s="18"/>
      <c r="M128" s="21" t="s">
        <v>249</v>
      </c>
      <c r="N128" s="18"/>
      <c r="O128" s="18"/>
      <c r="P128" s="18"/>
      <c r="Q128" s="18"/>
      <c r="R128" s="18"/>
      <c r="S128" s="18"/>
      <c r="T128" s="18"/>
      <c r="U128" s="18"/>
      <c r="V128" s="4">
        <f>20000000</f>
        <v>20000000</v>
      </c>
      <c r="W128" s="19" t="s">
        <v>3</v>
      </c>
      <c r="X128" s="19"/>
      <c r="Y128" s="19"/>
      <c r="Z128" s="19"/>
      <c r="AA128" s="19"/>
      <c r="AB128" s="19"/>
      <c r="AC128" s="3" t="s">
        <v>3</v>
      </c>
      <c r="AD128" s="4">
        <f>10000000</f>
        <v>10000000</v>
      </c>
      <c r="AE128" s="4">
        <f>10000000</f>
        <v>10000000</v>
      </c>
      <c r="AF128" s="3" t="s">
        <v>3</v>
      </c>
    </row>
    <row r="129" spans="1:32" s="1" customFormat="1" ht="24" customHeight="1" x14ac:dyDescent="0.2">
      <c r="A129" s="7" t="s">
        <v>14</v>
      </c>
      <c r="B129" s="18" t="s">
        <v>164</v>
      </c>
      <c r="C129" s="18"/>
      <c r="D129" s="18"/>
      <c r="E129" s="18"/>
      <c r="F129" s="18"/>
      <c r="G129" s="18"/>
      <c r="H129" s="18"/>
      <c r="I129" s="18"/>
      <c r="J129" s="18" t="s">
        <v>165</v>
      </c>
      <c r="K129" s="18"/>
      <c r="L129" s="18"/>
      <c r="M129" s="18" t="s">
        <v>26</v>
      </c>
      <c r="N129" s="18"/>
      <c r="O129" s="18"/>
      <c r="P129" s="18"/>
      <c r="Q129" s="18"/>
      <c r="R129" s="18"/>
      <c r="S129" s="18"/>
      <c r="T129" s="18"/>
      <c r="U129" s="18"/>
      <c r="V129" s="4">
        <f>20000000</f>
        <v>20000000</v>
      </c>
      <c r="W129" s="19" t="s">
        <v>3</v>
      </c>
      <c r="X129" s="19"/>
      <c r="Y129" s="19"/>
      <c r="Z129" s="19"/>
      <c r="AA129" s="19"/>
      <c r="AB129" s="19"/>
      <c r="AC129" s="4">
        <f>822739.73</f>
        <v>822739.73</v>
      </c>
      <c r="AD129" s="4">
        <f>5822739.73</f>
        <v>5822739.7300000004</v>
      </c>
      <c r="AE129" s="4">
        <f>15000000</f>
        <v>15000000</v>
      </c>
      <c r="AF129" s="3" t="s">
        <v>3</v>
      </c>
    </row>
    <row r="130" spans="1:32" s="1" customFormat="1" ht="24" customHeight="1" x14ac:dyDescent="0.2">
      <c r="A130" s="7" t="s">
        <v>15</v>
      </c>
      <c r="B130" s="18" t="s">
        <v>166</v>
      </c>
      <c r="C130" s="18"/>
      <c r="D130" s="18"/>
      <c r="E130" s="18"/>
      <c r="F130" s="18"/>
      <c r="G130" s="18"/>
      <c r="H130" s="18"/>
      <c r="I130" s="18"/>
      <c r="J130" s="18" t="s">
        <v>167</v>
      </c>
      <c r="K130" s="18"/>
      <c r="L130" s="18"/>
      <c r="M130" s="18" t="s">
        <v>26</v>
      </c>
      <c r="N130" s="18"/>
      <c r="O130" s="18"/>
      <c r="P130" s="18"/>
      <c r="Q130" s="18"/>
      <c r="R130" s="18"/>
      <c r="S130" s="18"/>
      <c r="T130" s="18"/>
      <c r="U130" s="18"/>
      <c r="V130" s="4">
        <f>20000000</f>
        <v>20000000</v>
      </c>
      <c r="W130" s="19" t="s">
        <v>3</v>
      </c>
      <c r="X130" s="19"/>
      <c r="Y130" s="19"/>
      <c r="Z130" s="19"/>
      <c r="AA130" s="19"/>
      <c r="AB130" s="19"/>
      <c r="AC130" s="4">
        <f>809178.08</f>
        <v>809178.08</v>
      </c>
      <c r="AD130" s="4">
        <f>3309178.08</f>
        <v>3309178.08</v>
      </c>
      <c r="AE130" s="4">
        <f>17500000</f>
        <v>17500000</v>
      </c>
      <c r="AF130" s="3" t="s">
        <v>3</v>
      </c>
    </row>
    <row r="131" spans="1:32" s="1" customFormat="1" ht="24" customHeight="1" x14ac:dyDescent="0.2">
      <c r="A131" s="7" t="s">
        <v>16</v>
      </c>
      <c r="B131" s="18" t="s">
        <v>168</v>
      </c>
      <c r="C131" s="18"/>
      <c r="D131" s="18"/>
      <c r="E131" s="18"/>
      <c r="F131" s="18"/>
      <c r="G131" s="18"/>
      <c r="H131" s="18"/>
      <c r="I131" s="18"/>
      <c r="J131" s="18" t="s">
        <v>169</v>
      </c>
      <c r="K131" s="18"/>
      <c r="L131" s="18"/>
      <c r="M131" s="18" t="s">
        <v>26</v>
      </c>
      <c r="N131" s="18"/>
      <c r="O131" s="18"/>
      <c r="P131" s="18"/>
      <c r="Q131" s="18"/>
      <c r="R131" s="18"/>
      <c r="S131" s="18"/>
      <c r="T131" s="18"/>
      <c r="U131" s="18"/>
      <c r="V131" s="4">
        <f>60000000</f>
        <v>60000000</v>
      </c>
      <c r="W131" s="19" t="s">
        <v>3</v>
      </c>
      <c r="X131" s="19"/>
      <c r="Y131" s="19"/>
      <c r="Z131" s="19"/>
      <c r="AA131" s="19"/>
      <c r="AB131" s="19"/>
      <c r="AC131" s="4">
        <f>2427534.25</f>
        <v>2427534.25</v>
      </c>
      <c r="AD131" s="4">
        <f>9927534.25</f>
        <v>9927534.25</v>
      </c>
      <c r="AE131" s="4">
        <f>52500000</f>
        <v>52500000</v>
      </c>
      <c r="AF131" s="3" t="s">
        <v>3</v>
      </c>
    </row>
    <row r="132" spans="1:32" s="1" customFormat="1" ht="45" customHeight="1" x14ac:dyDescent="0.2">
      <c r="A132" s="7" t="s">
        <v>17</v>
      </c>
      <c r="B132" s="18" t="s">
        <v>170</v>
      </c>
      <c r="C132" s="18"/>
      <c r="D132" s="18"/>
      <c r="E132" s="18"/>
      <c r="F132" s="18"/>
      <c r="G132" s="18"/>
      <c r="H132" s="18"/>
      <c r="I132" s="18"/>
      <c r="J132" s="18" t="s">
        <v>171</v>
      </c>
      <c r="K132" s="18"/>
      <c r="L132" s="18"/>
      <c r="M132" s="18" t="s">
        <v>160</v>
      </c>
      <c r="N132" s="18"/>
      <c r="O132" s="18"/>
      <c r="P132" s="18"/>
      <c r="Q132" s="18"/>
      <c r="R132" s="18"/>
      <c r="S132" s="18"/>
      <c r="T132" s="18"/>
      <c r="U132" s="18"/>
      <c r="V132" s="4">
        <f>150000000</f>
        <v>150000000</v>
      </c>
      <c r="W132" s="19" t="s">
        <v>3</v>
      </c>
      <c r="X132" s="19"/>
      <c r="Y132" s="19"/>
      <c r="Z132" s="19"/>
      <c r="AA132" s="19"/>
      <c r="AB132" s="19"/>
      <c r="AC132" s="4">
        <f>6051883.56</f>
        <v>6051883.5599999996</v>
      </c>
      <c r="AD132" s="4">
        <f>6051883.56</f>
        <v>6051883.5599999996</v>
      </c>
      <c r="AE132" s="4">
        <f>150000000</f>
        <v>150000000</v>
      </c>
      <c r="AF132" s="3" t="s">
        <v>3</v>
      </c>
    </row>
    <row r="133" spans="1:32" s="1" customFormat="1" ht="23.25" customHeight="1" x14ac:dyDescent="0.2">
      <c r="A133" s="7" t="s">
        <v>18</v>
      </c>
      <c r="B133" s="18" t="s">
        <v>172</v>
      </c>
      <c r="C133" s="18"/>
      <c r="D133" s="18"/>
      <c r="E133" s="18"/>
      <c r="F133" s="18"/>
      <c r="G133" s="18"/>
      <c r="H133" s="18"/>
      <c r="I133" s="18"/>
      <c r="J133" s="18" t="s">
        <v>64</v>
      </c>
      <c r="K133" s="18"/>
      <c r="L133" s="18"/>
      <c r="M133" s="21" t="s">
        <v>250</v>
      </c>
      <c r="N133" s="18"/>
      <c r="O133" s="18"/>
      <c r="P133" s="18"/>
      <c r="Q133" s="18"/>
      <c r="R133" s="18"/>
      <c r="S133" s="18"/>
      <c r="T133" s="18"/>
      <c r="U133" s="18"/>
      <c r="V133" s="4">
        <f>12000000</f>
        <v>12000000</v>
      </c>
      <c r="W133" s="19" t="s">
        <v>3</v>
      </c>
      <c r="X133" s="19"/>
      <c r="Y133" s="19"/>
      <c r="Z133" s="19"/>
      <c r="AA133" s="19"/>
      <c r="AB133" s="19"/>
      <c r="AC133" s="4">
        <f>2007749.49</f>
        <v>2007749.49</v>
      </c>
      <c r="AD133" s="4">
        <f>14007749.49</f>
        <v>14007749.49</v>
      </c>
      <c r="AE133" s="3" t="s">
        <v>3</v>
      </c>
      <c r="AF133" s="3" t="s">
        <v>3</v>
      </c>
    </row>
    <row r="134" spans="1:32" s="1" customFormat="1" ht="99.75" customHeight="1" x14ac:dyDescent="0.2">
      <c r="A134" s="7" t="s">
        <v>19</v>
      </c>
      <c r="B134" s="18" t="s">
        <v>173</v>
      </c>
      <c r="C134" s="18"/>
      <c r="D134" s="18"/>
      <c r="E134" s="18"/>
      <c r="F134" s="18"/>
      <c r="G134" s="18"/>
      <c r="H134" s="18"/>
      <c r="I134" s="18"/>
      <c r="J134" s="18" t="s">
        <v>64</v>
      </c>
      <c r="K134" s="18"/>
      <c r="L134" s="18"/>
      <c r="M134" s="18" t="s">
        <v>260</v>
      </c>
      <c r="N134" s="18"/>
      <c r="O134" s="18"/>
      <c r="P134" s="18"/>
      <c r="Q134" s="18"/>
      <c r="R134" s="18"/>
      <c r="S134" s="18"/>
      <c r="T134" s="18"/>
      <c r="U134" s="18"/>
      <c r="V134" s="4">
        <f>9151000</f>
        <v>9151000</v>
      </c>
      <c r="W134" s="19" t="s">
        <v>3</v>
      </c>
      <c r="X134" s="19"/>
      <c r="Y134" s="19"/>
      <c r="Z134" s="19"/>
      <c r="AA134" s="19"/>
      <c r="AB134" s="19"/>
      <c r="AC134" s="4">
        <f>1526950.85</f>
        <v>1526950.85</v>
      </c>
      <c r="AD134" s="4">
        <f>10677950.85</f>
        <v>10677950.85</v>
      </c>
      <c r="AE134" s="3" t="s">
        <v>3</v>
      </c>
      <c r="AF134" s="3" t="s">
        <v>3</v>
      </c>
    </row>
    <row r="135" spans="1:32" s="1" customFormat="1" ht="45.75" customHeight="1" x14ac:dyDescent="0.2">
      <c r="A135" s="7" t="s">
        <v>20</v>
      </c>
      <c r="B135" s="18" t="s">
        <v>174</v>
      </c>
      <c r="C135" s="18"/>
      <c r="D135" s="18"/>
      <c r="E135" s="18"/>
      <c r="F135" s="18"/>
      <c r="G135" s="18"/>
      <c r="H135" s="18"/>
      <c r="I135" s="18"/>
      <c r="J135" s="18" t="s">
        <v>175</v>
      </c>
      <c r="K135" s="18"/>
      <c r="L135" s="18"/>
      <c r="M135" s="18" t="s">
        <v>160</v>
      </c>
      <c r="N135" s="18"/>
      <c r="O135" s="18"/>
      <c r="P135" s="18"/>
      <c r="Q135" s="18"/>
      <c r="R135" s="18"/>
      <c r="S135" s="18"/>
      <c r="T135" s="18"/>
      <c r="U135" s="18"/>
      <c r="V135" s="3" t="s">
        <v>3</v>
      </c>
      <c r="W135" s="19" t="s">
        <v>3</v>
      </c>
      <c r="X135" s="19"/>
      <c r="Y135" s="19"/>
      <c r="Z135" s="19"/>
      <c r="AA135" s="19"/>
      <c r="AB135" s="19"/>
      <c r="AC135" s="4">
        <f>207000000</f>
        <v>207000000</v>
      </c>
      <c r="AD135" s="3" t="s">
        <v>3</v>
      </c>
      <c r="AE135" s="4">
        <f>207000000</f>
        <v>207000000</v>
      </c>
      <c r="AF135" s="3" t="s">
        <v>3</v>
      </c>
    </row>
    <row r="136" spans="1:32" s="1" customFormat="1" ht="12" customHeight="1" x14ac:dyDescent="0.2">
      <c r="A136" s="23" t="s">
        <v>221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6">
        <f>291151000</f>
        <v>291151000</v>
      </c>
      <c r="W136" s="22" t="s">
        <v>3</v>
      </c>
      <c r="X136" s="22"/>
      <c r="Y136" s="22"/>
      <c r="Z136" s="22"/>
      <c r="AA136" s="22"/>
      <c r="AB136" s="22"/>
      <c r="AC136" s="6">
        <f>220646035.96</f>
        <v>220646035.96000001</v>
      </c>
      <c r="AD136" s="6">
        <f>59797035.96</f>
        <v>59797035.960000001</v>
      </c>
      <c r="AE136" s="6">
        <f>452000000</f>
        <v>452000000</v>
      </c>
      <c r="AF136" s="5" t="s">
        <v>3</v>
      </c>
    </row>
    <row r="137" spans="1:32" s="1" customFormat="1" ht="12.95" customHeight="1" x14ac:dyDescent="0.2">
      <c r="A137" s="20" t="s">
        <v>176</v>
      </c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</row>
    <row r="138" spans="1:32" s="1" customFormat="1" ht="183" customHeight="1" x14ac:dyDescent="0.2">
      <c r="A138" s="7" t="s">
        <v>13</v>
      </c>
      <c r="B138" s="18" t="s">
        <v>177</v>
      </c>
      <c r="C138" s="18"/>
      <c r="D138" s="18"/>
      <c r="E138" s="18"/>
      <c r="F138" s="18"/>
      <c r="G138" s="18"/>
      <c r="H138" s="18"/>
      <c r="I138" s="18"/>
      <c r="J138" s="18" t="s">
        <v>163</v>
      </c>
      <c r="K138" s="18"/>
      <c r="L138" s="18"/>
      <c r="M138" s="18" t="s">
        <v>261</v>
      </c>
      <c r="N138" s="18"/>
      <c r="O138" s="18"/>
      <c r="P138" s="18"/>
      <c r="Q138" s="18"/>
      <c r="R138" s="18"/>
      <c r="S138" s="18"/>
      <c r="T138" s="18"/>
      <c r="U138" s="18"/>
      <c r="V138" s="4">
        <f>5880000</f>
        <v>5880000</v>
      </c>
      <c r="W138" s="19" t="s">
        <v>3</v>
      </c>
      <c r="X138" s="19"/>
      <c r="Y138" s="19"/>
      <c r="Z138" s="19"/>
      <c r="AA138" s="19"/>
      <c r="AB138" s="19"/>
      <c r="AC138" s="3" t="s">
        <v>3</v>
      </c>
      <c r="AD138" s="4">
        <f>2940000</f>
        <v>2940000</v>
      </c>
      <c r="AE138" s="4">
        <f>2940000</f>
        <v>2940000</v>
      </c>
      <c r="AF138" s="3" t="s">
        <v>3</v>
      </c>
    </row>
    <row r="139" spans="1:32" s="1" customFormat="1" ht="24" customHeight="1" x14ac:dyDescent="0.2">
      <c r="A139" s="7" t="s">
        <v>14</v>
      </c>
      <c r="B139" s="18" t="s">
        <v>178</v>
      </c>
      <c r="C139" s="18"/>
      <c r="D139" s="18"/>
      <c r="E139" s="18"/>
      <c r="F139" s="18"/>
      <c r="G139" s="18"/>
      <c r="H139" s="18"/>
      <c r="I139" s="18"/>
      <c r="J139" s="18" t="s">
        <v>179</v>
      </c>
      <c r="K139" s="18"/>
      <c r="L139" s="18"/>
      <c r="M139" s="18" t="s">
        <v>26</v>
      </c>
      <c r="N139" s="18"/>
      <c r="O139" s="18"/>
      <c r="P139" s="18"/>
      <c r="Q139" s="18"/>
      <c r="R139" s="18"/>
      <c r="S139" s="18"/>
      <c r="T139" s="18"/>
      <c r="U139" s="18"/>
      <c r="V139" s="4">
        <f>30000000</f>
        <v>30000000</v>
      </c>
      <c r="W139" s="19" t="s">
        <v>3</v>
      </c>
      <c r="X139" s="19"/>
      <c r="Y139" s="19"/>
      <c r="Z139" s="19"/>
      <c r="AA139" s="19"/>
      <c r="AB139" s="19"/>
      <c r="AC139" s="4">
        <f>1142568.49</f>
        <v>1142568.49</v>
      </c>
      <c r="AD139" s="4">
        <f>8642568.49</f>
        <v>8642568.4900000002</v>
      </c>
      <c r="AE139" s="4">
        <f>22500000</f>
        <v>22500000</v>
      </c>
      <c r="AF139" s="3" t="s">
        <v>3</v>
      </c>
    </row>
    <row r="140" spans="1:32" s="1" customFormat="1" ht="24" customHeight="1" x14ac:dyDescent="0.2">
      <c r="A140" s="7" t="s">
        <v>15</v>
      </c>
      <c r="B140" s="18" t="s">
        <v>180</v>
      </c>
      <c r="C140" s="18"/>
      <c r="D140" s="18"/>
      <c r="E140" s="18"/>
      <c r="F140" s="18"/>
      <c r="G140" s="18"/>
      <c r="H140" s="18"/>
      <c r="I140" s="18"/>
      <c r="J140" s="18" t="s">
        <v>181</v>
      </c>
      <c r="K140" s="18"/>
      <c r="L140" s="18"/>
      <c r="M140" s="18" t="s">
        <v>26</v>
      </c>
      <c r="N140" s="18"/>
      <c r="O140" s="18"/>
      <c r="P140" s="18"/>
      <c r="Q140" s="18"/>
      <c r="R140" s="18"/>
      <c r="S140" s="18"/>
      <c r="T140" s="18"/>
      <c r="U140" s="18"/>
      <c r="V140" s="4">
        <f>9120000</f>
        <v>9120000</v>
      </c>
      <c r="W140" s="19" t="s">
        <v>3</v>
      </c>
      <c r="X140" s="19"/>
      <c r="Y140" s="19"/>
      <c r="Z140" s="19"/>
      <c r="AA140" s="19"/>
      <c r="AB140" s="19"/>
      <c r="AC140" s="4">
        <f>358678.35</f>
        <v>358678.35</v>
      </c>
      <c r="AD140" s="4">
        <f>9478678.35</f>
        <v>9478678.3499999996</v>
      </c>
      <c r="AE140" s="3" t="s">
        <v>3</v>
      </c>
      <c r="AF140" s="3" t="s">
        <v>3</v>
      </c>
    </row>
    <row r="141" spans="1:32" s="1" customFormat="1" ht="14.1" customHeight="1" x14ac:dyDescent="0.2">
      <c r="A141" s="7" t="s">
        <v>16</v>
      </c>
      <c r="B141" s="18" t="s">
        <v>182</v>
      </c>
      <c r="C141" s="18"/>
      <c r="D141" s="18"/>
      <c r="E141" s="18"/>
      <c r="F141" s="18"/>
      <c r="G141" s="18"/>
      <c r="H141" s="18"/>
      <c r="I141" s="18"/>
      <c r="J141" s="18" t="s">
        <v>137</v>
      </c>
      <c r="K141" s="18"/>
      <c r="L141" s="18"/>
      <c r="M141" s="21" t="s">
        <v>232</v>
      </c>
      <c r="N141" s="18"/>
      <c r="O141" s="18"/>
      <c r="P141" s="18"/>
      <c r="Q141" s="18"/>
      <c r="R141" s="18"/>
      <c r="S141" s="18"/>
      <c r="T141" s="18"/>
      <c r="U141" s="18"/>
      <c r="V141" s="4">
        <f>42594</f>
        <v>42594</v>
      </c>
      <c r="W141" s="19" t="s">
        <v>3</v>
      </c>
      <c r="X141" s="19"/>
      <c r="Y141" s="19"/>
      <c r="Z141" s="19"/>
      <c r="AA141" s="19"/>
      <c r="AB141" s="19"/>
      <c r="AC141" s="3" t="s">
        <v>3</v>
      </c>
      <c r="AD141" s="4">
        <f>14198</f>
        <v>14198</v>
      </c>
      <c r="AE141" s="4">
        <f>28396</f>
        <v>28396</v>
      </c>
      <c r="AF141" s="3" t="s">
        <v>3</v>
      </c>
    </row>
    <row r="142" spans="1:32" s="1" customFormat="1" ht="14.1" customHeight="1" x14ac:dyDescent="0.2">
      <c r="A142" s="7" t="s">
        <v>17</v>
      </c>
      <c r="B142" s="18" t="s">
        <v>183</v>
      </c>
      <c r="C142" s="18"/>
      <c r="D142" s="18"/>
      <c r="E142" s="18"/>
      <c r="F142" s="18"/>
      <c r="G142" s="18"/>
      <c r="H142" s="18"/>
      <c r="I142" s="18"/>
      <c r="J142" s="18" t="s">
        <v>137</v>
      </c>
      <c r="K142" s="18"/>
      <c r="L142" s="18"/>
      <c r="M142" s="21" t="s">
        <v>232</v>
      </c>
      <c r="N142" s="18"/>
      <c r="O142" s="18"/>
      <c r="P142" s="18"/>
      <c r="Q142" s="18"/>
      <c r="R142" s="18"/>
      <c r="S142" s="18"/>
      <c r="T142" s="18"/>
      <c r="U142" s="18"/>
      <c r="V142" s="4">
        <f>24986</f>
        <v>24986</v>
      </c>
      <c r="W142" s="19" t="s">
        <v>3</v>
      </c>
      <c r="X142" s="19"/>
      <c r="Y142" s="19"/>
      <c r="Z142" s="19"/>
      <c r="AA142" s="19"/>
      <c r="AB142" s="19"/>
      <c r="AC142" s="3" t="s">
        <v>3</v>
      </c>
      <c r="AD142" s="4">
        <f>8329</f>
        <v>8329</v>
      </c>
      <c r="AE142" s="4">
        <f>16657</f>
        <v>16657</v>
      </c>
      <c r="AF142" s="3" t="s">
        <v>3</v>
      </c>
    </row>
    <row r="143" spans="1:32" s="1" customFormat="1" ht="12" customHeight="1" x14ac:dyDescent="0.2">
      <c r="A143" s="23" t="s">
        <v>221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6">
        <f>45067580</f>
        <v>45067580</v>
      </c>
      <c r="W143" s="22" t="s">
        <v>3</v>
      </c>
      <c r="X143" s="22"/>
      <c r="Y143" s="22"/>
      <c r="Z143" s="22"/>
      <c r="AA143" s="22"/>
      <c r="AB143" s="22"/>
      <c r="AC143" s="6">
        <f>1501246.84</f>
        <v>1501246.84</v>
      </c>
      <c r="AD143" s="6">
        <f>21083773.84</f>
        <v>21083773.84</v>
      </c>
      <c r="AE143" s="6">
        <f>25485053</f>
        <v>25485053</v>
      </c>
      <c r="AF143" s="5" t="s">
        <v>3</v>
      </c>
    </row>
    <row r="144" spans="1:32" s="1" customFormat="1" ht="12.95" customHeight="1" x14ac:dyDescent="0.2">
      <c r="A144" s="30" t="s">
        <v>184</v>
      </c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</row>
    <row r="145" spans="1:32" s="1" customFormat="1" ht="24" customHeight="1" x14ac:dyDescent="0.2">
      <c r="A145" s="7" t="s">
        <v>13</v>
      </c>
      <c r="B145" s="18" t="s">
        <v>185</v>
      </c>
      <c r="C145" s="18"/>
      <c r="D145" s="18"/>
      <c r="E145" s="18"/>
      <c r="F145" s="18"/>
      <c r="G145" s="18"/>
      <c r="H145" s="18"/>
      <c r="I145" s="18"/>
      <c r="J145" s="18" t="s">
        <v>186</v>
      </c>
      <c r="K145" s="18"/>
      <c r="L145" s="18"/>
      <c r="M145" s="21" t="s">
        <v>235</v>
      </c>
      <c r="N145" s="18"/>
      <c r="O145" s="18"/>
      <c r="P145" s="18"/>
      <c r="Q145" s="18"/>
      <c r="R145" s="18"/>
      <c r="S145" s="18"/>
      <c r="T145" s="18"/>
      <c r="U145" s="18"/>
      <c r="V145" s="4">
        <f>11000000</f>
        <v>11000000</v>
      </c>
      <c r="W145" s="19" t="s">
        <v>3</v>
      </c>
      <c r="X145" s="19"/>
      <c r="Y145" s="19"/>
      <c r="Z145" s="19"/>
      <c r="AA145" s="19"/>
      <c r="AB145" s="19"/>
      <c r="AC145" s="3" t="s">
        <v>3</v>
      </c>
      <c r="AD145" s="4">
        <f>5500000</f>
        <v>5500000</v>
      </c>
      <c r="AE145" s="4">
        <f>5500000</f>
        <v>5500000</v>
      </c>
      <c r="AF145" s="3" t="s">
        <v>3</v>
      </c>
    </row>
    <row r="146" spans="1:32" s="1" customFormat="1" ht="24" customHeight="1" x14ac:dyDescent="0.2">
      <c r="A146" s="7" t="s">
        <v>14</v>
      </c>
      <c r="B146" s="18" t="s">
        <v>187</v>
      </c>
      <c r="C146" s="18"/>
      <c r="D146" s="18"/>
      <c r="E146" s="18"/>
      <c r="F146" s="18"/>
      <c r="G146" s="18"/>
      <c r="H146" s="18"/>
      <c r="I146" s="18"/>
      <c r="J146" s="18" t="s">
        <v>107</v>
      </c>
      <c r="K146" s="18"/>
      <c r="L146" s="18"/>
      <c r="M146" s="18" t="s">
        <v>26</v>
      </c>
      <c r="N146" s="18"/>
      <c r="O146" s="18"/>
      <c r="P146" s="18"/>
      <c r="Q146" s="18"/>
      <c r="R146" s="18"/>
      <c r="S146" s="18"/>
      <c r="T146" s="18"/>
      <c r="U146" s="18"/>
      <c r="V146" s="3" t="s">
        <v>3</v>
      </c>
      <c r="W146" s="19" t="s">
        <v>3</v>
      </c>
      <c r="X146" s="19"/>
      <c r="Y146" s="19"/>
      <c r="Z146" s="19"/>
      <c r="AA146" s="19"/>
      <c r="AB146" s="19"/>
      <c r="AC146" s="4">
        <f>9840000</f>
        <v>9840000</v>
      </c>
      <c r="AD146" s="3" t="s">
        <v>3</v>
      </c>
      <c r="AE146" s="4">
        <f>9840000</f>
        <v>9840000</v>
      </c>
      <c r="AF146" s="3" t="s">
        <v>3</v>
      </c>
    </row>
    <row r="147" spans="1:32" s="1" customFormat="1" ht="12" customHeight="1" x14ac:dyDescent="0.2">
      <c r="A147" s="23" t="s">
        <v>221</v>
      </c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6">
        <f>11000000</f>
        <v>11000000</v>
      </c>
      <c r="W147" s="22" t="s">
        <v>3</v>
      </c>
      <c r="X147" s="22"/>
      <c r="Y147" s="22"/>
      <c r="Z147" s="22"/>
      <c r="AA147" s="22"/>
      <c r="AB147" s="22"/>
      <c r="AC147" s="6">
        <f>9840000</f>
        <v>9840000</v>
      </c>
      <c r="AD147" s="6">
        <f>5500000</f>
        <v>5500000</v>
      </c>
      <c r="AE147" s="6">
        <f>15340000</f>
        <v>15340000</v>
      </c>
      <c r="AF147" s="5" t="s">
        <v>3</v>
      </c>
    </row>
    <row r="148" spans="1:32" s="1" customFormat="1" ht="12.95" customHeight="1" x14ac:dyDescent="0.2">
      <c r="A148" s="24" t="s">
        <v>252</v>
      </c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7"/>
    </row>
    <row r="149" spans="1:32" s="1" customFormat="1" ht="107.1" customHeight="1" x14ac:dyDescent="0.2">
      <c r="A149" s="7" t="s">
        <v>13</v>
      </c>
      <c r="B149" s="18" t="s">
        <v>188</v>
      </c>
      <c r="C149" s="18"/>
      <c r="D149" s="18"/>
      <c r="E149" s="18"/>
      <c r="F149" s="18"/>
      <c r="G149" s="18"/>
      <c r="H149" s="18"/>
      <c r="I149" s="18"/>
      <c r="J149" s="18" t="s">
        <v>189</v>
      </c>
      <c r="K149" s="18"/>
      <c r="L149" s="18"/>
      <c r="M149" s="21" t="s">
        <v>253</v>
      </c>
      <c r="N149" s="18"/>
      <c r="O149" s="18"/>
      <c r="P149" s="18"/>
      <c r="Q149" s="18"/>
      <c r="R149" s="18"/>
      <c r="S149" s="18"/>
      <c r="T149" s="18"/>
      <c r="U149" s="18"/>
      <c r="V149" s="4">
        <f>3478800</f>
        <v>3478800</v>
      </c>
      <c r="W149" s="19" t="s">
        <v>3</v>
      </c>
      <c r="X149" s="19"/>
      <c r="Y149" s="19"/>
      <c r="Z149" s="19"/>
      <c r="AA149" s="19"/>
      <c r="AB149" s="19"/>
      <c r="AC149" s="4">
        <f>494436.78</f>
        <v>494436.78</v>
      </c>
      <c r="AD149" s="4">
        <f>3973236.78</f>
        <v>3973236.78</v>
      </c>
      <c r="AE149" s="3" t="s">
        <v>3</v>
      </c>
      <c r="AF149" s="3" t="s">
        <v>3</v>
      </c>
    </row>
    <row r="150" spans="1:32" s="1" customFormat="1" ht="27" customHeight="1" x14ac:dyDescent="0.2">
      <c r="A150" s="7" t="s">
        <v>14</v>
      </c>
      <c r="B150" s="18" t="s">
        <v>190</v>
      </c>
      <c r="C150" s="18"/>
      <c r="D150" s="18"/>
      <c r="E150" s="18"/>
      <c r="F150" s="18"/>
      <c r="G150" s="18"/>
      <c r="H150" s="18"/>
      <c r="I150" s="18"/>
      <c r="J150" s="18" t="s">
        <v>191</v>
      </c>
      <c r="K150" s="18"/>
      <c r="L150" s="18"/>
      <c r="M150" s="21" t="s">
        <v>254</v>
      </c>
      <c r="N150" s="18"/>
      <c r="O150" s="18"/>
      <c r="P150" s="18"/>
      <c r="Q150" s="18"/>
      <c r="R150" s="18"/>
      <c r="S150" s="18"/>
      <c r="T150" s="18"/>
      <c r="U150" s="18"/>
      <c r="V150" s="4">
        <f>6750000</f>
        <v>6750000</v>
      </c>
      <c r="W150" s="19" t="s">
        <v>3</v>
      </c>
      <c r="X150" s="19"/>
      <c r="Y150" s="19"/>
      <c r="Z150" s="19"/>
      <c r="AA150" s="19"/>
      <c r="AB150" s="19"/>
      <c r="AC150" s="3" t="s">
        <v>3</v>
      </c>
      <c r="AD150" s="4">
        <f>4500000</f>
        <v>4500000</v>
      </c>
      <c r="AE150" s="4">
        <f>2250000</f>
        <v>2250000</v>
      </c>
      <c r="AF150" s="3" t="s">
        <v>3</v>
      </c>
    </row>
    <row r="151" spans="1:32" s="1" customFormat="1" ht="66" customHeight="1" x14ac:dyDescent="0.2">
      <c r="A151" s="7" t="s">
        <v>15</v>
      </c>
      <c r="B151" s="18" t="s">
        <v>192</v>
      </c>
      <c r="C151" s="18"/>
      <c r="D151" s="18"/>
      <c r="E151" s="18"/>
      <c r="F151" s="18"/>
      <c r="G151" s="18"/>
      <c r="H151" s="18"/>
      <c r="I151" s="18"/>
      <c r="J151" s="18" t="s">
        <v>193</v>
      </c>
      <c r="K151" s="18"/>
      <c r="L151" s="18"/>
      <c r="M151" s="21" t="s">
        <v>255</v>
      </c>
      <c r="N151" s="18"/>
      <c r="O151" s="18"/>
      <c r="P151" s="18"/>
      <c r="Q151" s="18"/>
      <c r="R151" s="18"/>
      <c r="S151" s="18"/>
      <c r="T151" s="18"/>
      <c r="U151" s="18"/>
      <c r="V151" s="4">
        <f>4375000</f>
        <v>4375000</v>
      </c>
      <c r="W151" s="19" t="s">
        <v>3</v>
      </c>
      <c r="X151" s="19"/>
      <c r="Y151" s="19"/>
      <c r="Z151" s="19"/>
      <c r="AA151" s="19"/>
      <c r="AB151" s="19"/>
      <c r="AC151" s="3" t="s">
        <v>3</v>
      </c>
      <c r="AD151" s="4">
        <f>2500000</f>
        <v>2500000</v>
      </c>
      <c r="AE151" s="4">
        <f>1875000</f>
        <v>1875000</v>
      </c>
      <c r="AF151" s="3" t="s">
        <v>3</v>
      </c>
    </row>
    <row r="152" spans="1:32" s="1" customFormat="1" ht="27" customHeight="1" x14ac:dyDescent="0.2">
      <c r="A152" s="7" t="s">
        <v>16</v>
      </c>
      <c r="B152" s="18" t="s">
        <v>194</v>
      </c>
      <c r="C152" s="18"/>
      <c r="D152" s="18"/>
      <c r="E152" s="18"/>
      <c r="F152" s="18"/>
      <c r="G152" s="18"/>
      <c r="H152" s="18"/>
      <c r="I152" s="18"/>
      <c r="J152" s="18" t="s">
        <v>48</v>
      </c>
      <c r="K152" s="18"/>
      <c r="L152" s="18"/>
      <c r="M152" s="18" t="s">
        <v>26</v>
      </c>
      <c r="N152" s="18"/>
      <c r="O152" s="18"/>
      <c r="P152" s="18"/>
      <c r="Q152" s="18"/>
      <c r="R152" s="18"/>
      <c r="S152" s="18"/>
      <c r="T152" s="18"/>
      <c r="U152" s="18"/>
      <c r="V152" s="4">
        <f>5500000</f>
        <v>5500000</v>
      </c>
      <c r="W152" s="19" t="s">
        <v>3</v>
      </c>
      <c r="X152" s="19"/>
      <c r="Y152" s="19"/>
      <c r="Z152" s="19"/>
      <c r="AA152" s="19"/>
      <c r="AB152" s="19"/>
      <c r="AC152" s="4">
        <f>216929.79</f>
        <v>216929.79</v>
      </c>
      <c r="AD152" s="4">
        <f>904429.79</f>
        <v>904429.79</v>
      </c>
      <c r="AE152" s="4">
        <f>4812500</f>
        <v>4812500</v>
      </c>
      <c r="AF152" s="3" t="s">
        <v>3</v>
      </c>
    </row>
    <row r="153" spans="1:32" s="1" customFormat="1" ht="24" customHeight="1" x14ac:dyDescent="0.2">
      <c r="A153" s="7" t="s">
        <v>17</v>
      </c>
      <c r="B153" s="18" t="s">
        <v>195</v>
      </c>
      <c r="C153" s="18"/>
      <c r="D153" s="18"/>
      <c r="E153" s="18"/>
      <c r="F153" s="18"/>
      <c r="G153" s="18"/>
      <c r="H153" s="18"/>
      <c r="I153" s="18"/>
      <c r="J153" s="18" t="s">
        <v>196</v>
      </c>
      <c r="K153" s="18"/>
      <c r="L153" s="18"/>
      <c r="M153" s="21" t="s">
        <v>250</v>
      </c>
      <c r="N153" s="18"/>
      <c r="O153" s="18"/>
      <c r="P153" s="18"/>
      <c r="Q153" s="18"/>
      <c r="R153" s="18"/>
      <c r="S153" s="18"/>
      <c r="T153" s="18"/>
      <c r="U153" s="18"/>
      <c r="V153" s="4">
        <f>1500000</f>
        <v>1500000</v>
      </c>
      <c r="W153" s="19" t="s">
        <v>3</v>
      </c>
      <c r="X153" s="19"/>
      <c r="Y153" s="19"/>
      <c r="Z153" s="19"/>
      <c r="AA153" s="19"/>
      <c r="AB153" s="19"/>
      <c r="AC153" s="4">
        <f>257113.79</f>
        <v>257113.79</v>
      </c>
      <c r="AD153" s="4">
        <f>1757113.79</f>
        <v>1757113.79</v>
      </c>
      <c r="AE153" s="3" t="s">
        <v>3</v>
      </c>
      <c r="AF153" s="3" t="s">
        <v>3</v>
      </c>
    </row>
    <row r="154" spans="1:32" s="1" customFormat="1" ht="18.75" customHeight="1" x14ac:dyDescent="0.2">
      <c r="A154" s="7" t="s">
        <v>18</v>
      </c>
      <c r="B154" s="18" t="s">
        <v>197</v>
      </c>
      <c r="C154" s="18"/>
      <c r="D154" s="18"/>
      <c r="E154" s="18"/>
      <c r="F154" s="18"/>
      <c r="G154" s="18"/>
      <c r="H154" s="18"/>
      <c r="I154" s="18"/>
      <c r="J154" s="18" t="s">
        <v>137</v>
      </c>
      <c r="K154" s="18"/>
      <c r="L154" s="18"/>
      <c r="M154" s="21" t="s">
        <v>232</v>
      </c>
      <c r="N154" s="18"/>
      <c r="O154" s="18"/>
      <c r="P154" s="18"/>
      <c r="Q154" s="18"/>
      <c r="R154" s="18"/>
      <c r="S154" s="18"/>
      <c r="T154" s="18"/>
      <c r="U154" s="18"/>
      <c r="V154" s="4">
        <f>19194</f>
        <v>19194</v>
      </c>
      <c r="W154" s="19" t="s">
        <v>3</v>
      </c>
      <c r="X154" s="19"/>
      <c r="Y154" s="19"/>
      <c r="Z154" s="19"/>
      <c r="AA154" s="19"/>
      <c r="AB154" s="19"/>
      <c r="AC154" s="3" t="s">
        <v>3</v>
      </c>
      <c r="AD154" s="4">
        <f>9069</f>
        <v>9069</v>
      </c>
      <c r="AE154" s="4">
        <f>10125</f>
        <v>10125</v>
      </c>
      <c r="AF154" s="3" t="s">
        <v>3</v>
      </c>
    </row>
    <row r="155" spans="1:32" s="1" customFormat="1" ht="13.5" customHeight="1" x14ac:dyDescent="0.2">
      <c r="A155" s="7" t="s">
        <v>19</v>
      </c>
      <c r="B155" s="18" t="s">
        <v>198</v>
      </c>
      <c r="C155" s="18"/>
      <c r="D155" s="18"/>
      <c r="E155" s="18"/>
      <c r="F155" s="18"/>
      <c r="G155" s="18"/>
      <c r="H155" s="18"/>
      <c r="I155" s="18"/>
      <c r="J155" s="18" t="s">
        <v>137</v>
      </c>
      <c r="K155" s="18"/>
      <c r="L155" s="18"/>
      <c r="M155" s="21" t="s">
        <v>232</v>
      </c>
      <c r="N155" s="18"/>
      <c r="O155" s="18"/>
      <c r="P155" s="18"/>
      <c r="Q155" s="18"/>
      <c r="R155" s="18"/>
      <c r="S155" s="18"/>
      <c r="T155" s="18"/>
      <c r="U155" s="18"/>
      <c r="V155" s="4">
        <f>15260.12</f>
        <v>15260.12</v>
      </c>
      <c r="W155" s="19" t="s">
        <v>3</v>
      </c>
      <c r="X155" s="19"/>
      <c r="Y155" s="19"/>
      <c r="Z155" s="19"/>
      <c r="AA155" s="19"/>
      <c r="AB155" s="19"/>
      <c r="AC155" s="3" t="s">
        <v>3</v>
      </c>
      <c r="AD155" s="4">
        <f>7012</f>
        <v>7012</v>
      </c>
      <c r="AE155" s="4">
        <f>8248.12</f>
        <v>8248.1200000000008</v>
      </c>
      <c r="AF155" s="3" t="s">
        <v>3</v>
      </c>
    </row>
    <row r="156" spans="1:32" s="1" customFormat="1" ht="24" customHeight="1" x14ac:dyDescent="0.2">
      <c r="A156" s="7" t="s">
        <v>20</v>
      </c>
      <c r="B156" s="18" t="s">
        <v>199</v>
      </c>
      <c r="C156" s="18"/>
      <c r="D156" s="18"/>
      <c r="E156" s="18"/>
      <c r="F156" s="18"/>
      <c r="G156" s="18"/>
      <c r="H156" s="18"/>
      <c r="I156" s="18"/>
      <c r="J156" s="18" t="s">
        <v>159</v>
      </c>
      <c r="K156" s="18"/>
      <c r="L156" s="18"/>
      <c r="M156" s="18" t="s">
        <v>26</v>
      </c>
      <c r="N156" s="18"/>
      <c r="O156" s="18"/>
      <c r="P156" s="18"/>
      <c r="Q156" s="18"/>
      <c r="R156" s="18"/>
      <c r="S156" s="18"/>
      <c r="T156" s="18"/>
      <c r="U156" s="18"/>
      <c r="V156" s="3" t="s">
        <v>3</v>
      </c>
      <c r="W156" s="19" t="s">
        <v>3</v>
      </c>
      <c r="X156" s="19"/>
      <c r="Y156" s="19"/>
      <c r="Z156" s="19"/>
      <c r="AA156" s="19"/>
      <c r="AB156" s="19"/>
      <c r="AC156" s="4">
        <f>12700000</f>
        <v>12700000</v>
      </c>
      <c r="AD156" s="3" t="s">
        <v>3</v>
      </c>
      <c r="AE156" s="4">
        <f>12700000</f>
        <v>12700000</v>
      </c>
      <c r="AF156" s="3" t="s">
        <v>3</v>
      </c>
    </row>
    <row r="157" spans="1:32" s="1" customFormat="1" ht="12" customHeight="1" x14ac:dyDescent="0.2">
      <c r="A157" s="23" t="s">
        <v>221</v>
      </c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6">
        <f>21638254.12</f>
        <v>21638254.120000001</v>
      </c>
      <c r="W157" s="22" t="s">
        <v>3</v>
      </c>
      <c r="X157" s="22"/>
      <c r="Y157" s="22"/>
      <c r="Z157" s="22"/>
      <c r="AA157" s="22"/>
      <c r="AB157" s="22"/>
      <c r="AC157" s="6">
        <f>13668480.36</f>
        <v>13668480.359999999</v>
      </c>
      <c r="AD157" s="6">
        <f>13650861.36</f>
        <v>13650861.359999999</v>
      </c>
      <c r="AE157" s="6">
        <f>21655873.12</f>
        <v>21655873.120000001</v>
      </c>
      <c r="AF157" s="5" t="s">
        <v>3</v>
      </c>
    </row>
    <row r="158" spans="1:32" s="1" customFormat="1" ht="12.95" customHeight="1" x14ac:dyDescent="0.2">
      <c r="A158" s="24" t="s">
        <v>256</v>
      </c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7"/>
    </row>
    <row r="159" spans="1:32" s="1" customFormat="1" ht="24" customHeight="1" x14ac:dyDescent="0.2">
      <c r="A159" s="7" t="s">
        <v>13</v>
      </c>
      <c r="B159" s="18" t="s">
        <v>200</v>
      </c>
      <c r="C159" s="18"/>
      <c r="D159" s="18"/>
      <c r="E159" s="18"/>
      <c r="F159" s="18"/>
      <c r="G159" s="18"/>
      <c r="H159" s="18"/>
      <c r="I159" s="18"/>
      <c r="J159" s="18" t="s">
        <v>201</v>
      </c>
      <c r="K159" s="18"/>
      <c r="L159" s="18"/>
      <c r="M159" s="18" t="s">
        <v>26</v>
      </c>
      <c r="N159" s="18"/>
      <c r="O159" s="18"/>
      <c r="P159" s="18"/>
      <c r="Q159" s="18"/>
      <c r="R159" s="18"/>
      <c r="S159" s="18"/>
      <c r="T159" s="18"/>
      <c r="U159" s="18"/>
      <c r="V159" s="4">
        <f>15000000</f>
        <v>15000000</v>
      </c>
      <c r="W159" s="19" t="s">
        <v>3</v>
      </c>
      <c r="X159" s="19"/>
      <c r="Y159" s="19"/>
      <c r="Z159" s="19"/>
      <c r="AA159" s="19"/>
      <c r="AB159" s="19"/>
      <c r="AC159" s="4">
        <f>584845.89</f>
        <v>584845.89</v>
      </c>
      <c r="AD159" s="4">
        <f>15584845.89</f>
        <v>15584845.890000001</v>
      </c>
      <c r="AE159" s="3" t="s">
        <v>3</v>
      </c>
      <c r="AF159" s="3" t="s">
        <v>3</v>
      </c>
    </row>
    <row r="160" spans="1:32" s="1" customFormat="1" ht="12.95" customHeight="1" x14ac:dyDescent="0.2">
      <c r="A160" s="15" t="s">
        <v>262</v>
      </c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7"/>
    </row>
    <row r="161" spans="1:32" s="1" customFormat="1" ht="24" customHeight="1" x14ac:dyDescent="0.2">
      <c r="A161" s="7" t="s">
        <v>13</v>
      </c>
      <c r="B161" s="18" t="s">
        <v>202</v>
      </c>
      <c r="C161" s="18"/>
      <c r="D161" s="18"/>
      <c r="E161" s="18"/>
      <c r="F161" s="18"/>
      <c r="G161" s="18"/>
      <c r="H161" s="18"/>
      <c r="I161" s="18"/>
      <c r="J161" s="18" t="s">
        <v>64</v>
      </c>
      <c r="K161" s="18"/>
      <c r="L161" s="18"/>
      <c r="M161" s="21" t="s">
        <v>250</v>
      </c>
      <c r="N161" s="18"/>
      <c r="O161" s="18"/>
      <c r="P161" s="18"/>
      <c r="Q161" s="18"/>
      <c r="R161" s="18"/>
      <c r="S161" s="18"/>
      <c r="T161" s="18"/>
      <c r="U161" s="18"/>
      <c r="V161" s="4">
        <f>10000000</f>
        <v>10000000</v>
      </c>
      <c r="W161" s="19" t="s">
        <v>3</v>
      </c>
      <c r="X161" s="19"/>
      <c r="Y161" s="19"/>
      <c r="Z161" s="19"/>
      <c r="AA161" s="19"/>
      <c r="AB161" s="19"/>
      <c r="AC161" s="4">
        <f>1084344.82</f>
        <v>1084344.82</v>
      </c>
      <c r="AD161" s="4">
        <f>11084344.82</f>
        <v>11084344.82</v>
      </c>
      <c r="AE161" s="3" t="s">
        <v>3</v>
      </c>
      <c r="AF161" s="3" t="s">
        <v>3</v>
      </c>
    </row>
    <row r="162" spans="1:32" s="1" customFormat="1" ht="56.25" customHeight="1" x14ac:dyDescent="0.2">
      <c r="A162" s="7" t="s">
        <v>14</v>
      </c>
      <c r="B162" s="18" t="s">
        <v>203</v>
      </c>
      <c r="C162" s="18"/>
      <c r="D162" s="18"/>
      <c r="E162" s="18"/>
      <c r="F162" s="18"/>
      <c r="G162" s="18"/>
      <c r="H162" s="18"/>
      <c r="I162" s="18"/>
      <c r="J162" s="18" t="s">
        <v>204</v>
      </c>
      <c r="K162" s="18"/>
      <c r="L162" s="18"/>
      <c r="M162" s="18" t="s">
        <v>263</v>
      </c>
      <c r="N162" s="18"/>
      <c r="O162" s="18"/>
      <c r="P162" s="18"/>
      <c r="Q162" s="18"/>
      <c r="R162" s="18"/>
      <c r="S162" s="18"/>
      <c r="T162" s="18"/>
      <c r="U162" s="18"/>
      <c r="V162" s="4">
        <f>26000000</f>
        <v>26000000</v>
      </c>
      <c r="W162" s="19" t="s">
        <v>3</v>
      </c>
      <c r="X162" s="19"/>
      <c r="Y162" s="19"/>
      <c r="Z162" s="19"/>
      <c r="AA162" s="19"/>
      <c r="AB162" s="19"/>
      <c r="AC162" s="3" t="s">
        <v>3</v>
      </c>
      <c r="AD162" s="4">
        <f>13000000</f>
        <v>13000000</v>
      </c>
      <c r="AE162" s="4">
        <f>13000000</f>
        <v>13000000</v>
      </c>
      <c r="AF162" s="3" t="s">
        <v>3</v>
      </c>
    </row>
    <row r="163" spans="1:32" s="1" customFormat="1" ht="25.5" customHeight="1" x14ac:dyDescent="0.2">
      <c r="A163" s="7" t="s">
        <v>15</v>
      </c>
      <c r="B163" s="18" t="s">
        <v>205</v>
      </c>
      <c r="C163" s="18"/>
      <c r="D163" s="18"/>
      <c r="E163" s="18"/>
      <c r="F163" s="18"/>
      <c r="G163" s="18"/>
      <c r="H163" s="18"/>
      <c r="I163" s="18"/>
      <c r="J163" s="18" t="s">
        <v>206</v>
      </c>
      <c r="K163" s="18"/>
      <c r="L163" s="18"/>
      <c r="M163" s="18" t="s">
        <v>26</v>
      </c>
      <c r="N163" s="18"/>
      <c r="O163" s="18"/>
      <c r="P163" s="18"/>
      <c r="Q163" s="18"/>
      <c r="R163" s="18"/>
      <c r="S163" s="18"/>
      <c r="T163" s="18"/>
      <c r="U163" s="18"/>
      <c r="V163" s="4">
        <f>41405000</f>
        <v>41405000</v>
      </c>
      <c r="W163" s="19" t="s">
        <v>3</v>
      </c>
      <c r="X163" s="19"/>
      <c r="Y163" s="19"/>
      <c r="Z163" s="19"/>
      <c r="AA163" s="19"/>
      <c r="AB163" s="19"/>
      <c r="AC163" s="4">
        <f>1637766.27</f>
        <v>1637766.27</v>
      </c>
      <c r="AD163" s="4">
        <f>11989016.27</f>
        <v>11989016.27</v>
      </c>
      <c r="AE163" s="4">
        <f>31053750</f>
        <v>31053750</v>
      </c>
      <c r="AF163" s="3" t="s">
        <v>3</v>
      </c>
    </row>
    <row r="164" spans="1:32" s="1" customFormat="1" ht="24" customHeight="1" x14ac:dyDescent="0.2">
      <c r="A164" s="7" t="s">
        <v>16</v>
      </c>
      <c r="B164" s="18" t="s">
        <v>207</v>
      </c>
      <c r="C164" s="18"/>
      <c r="D164" s="18"/>
      <c r="E164" s="18"/>
      <c r="F164" s="18"/>
      <c r="G164" s="18"/>
      <c r="H164" s="18"/>
      <c r="I164" s="18"/>
      <c r="J164" s="18" t="s">
        <v>123</v>
      </c>
      <c r="K164" s="18"/>
      <c r="L164" s="18"/>
      <c r="M164" s="18" t="s">
        <v>26</v>
      </c>
      <c r="N164" s="18"/>
      <c r="O164" s="18"/>
      <c r="P164" s="18"/>
      <c r="Q164" s="18"/>
      <c r="R164" s="18"/>
      <c r="S164" s="18"/>
      <c r="T164" s="18"/>
      <c r="U164" s="18"/>
      <c r="V164" s="4">
        <f>15000000</f>
        <v>15000000</v>
      </c>
      <c r="W164" s="19" t="s">
        <v>3</v>
      </c>
      <c r="X164" s="19"/>
      <c r="Y164" s="19"/>
      <c r="Z164" s="19"/>
      <c r="AA164" s="19"/>
      <c r="AB164" s="19"/>
      <c r="AC164" s="4">
        <f>601797.94</f>
        <v>601797.93999999994</v>
      </c>
      <c r="AD164" s="4">
        <f>601797.94</f>
        <v>601797.93999999994</v>
      </c>
      <c r="AE164" s="4">
        <f>15000000</f>
        <v>15000000</v>
      </c>
      <c r="AF164" s="3" t="s">
        <v>3</v>
      </c>
    </row>
    <row r="165" spans="1:32" s="1" customFormat="1" ht="45" customHeight="1" x14ac:dyDescent="0.2">
      <c r="A165" s="7" t="s">
        <v>17</v>
      </c>
      <c r="B165" s="18" t="s">
        <v>208</v>
      </c>
      <c r="C165" s="18"/>
      <c r="D165" s="18"/>
      <c r="E165" s="18"/>
      <c r="F165" s="18"/>
      <c r="G165" s="18"/>
      <c r="H165" s="18"/>
      <c r="I165" s="18"/>
      <c r="J165" s="18" t="s">
        <v>159</v>
      </c>
      <c r="K165" s="18"/>
      <c r="L165" s="18"/>
      <c r="M165" s="18" t="s">
        <v>160</v>
      </c>
      <c r="N165" s="18"/>
      <c r="O165" s="18"/>
      <c r="P165" s="18"/>
      <c r="Q165" s="18"/>
      <c r="R165" s="18"/>
      <c r="S165" s="18"/>
      <c r="T165" s="18"/>
      <c r="U165" s="18"/>
      <c r="V165" s="3" t="s">
        <v>3</v>
      </c>
      <c r="W165" s="19" t="s">
        <v>3</v>
      </c>
      <c r="X165" s="19"/>
      <c r="Y165" s="19"/>
      <c r="Z165" s="19"/>
      <c r="AA165" s="19"/>
      <c r="AB165" s="19"/>
      <c r="AC165" s="4">
        <f>60000000</f>
        <v>60000000</v>
      </c>
      <c r="AD165" s="3" t="s">
        <v>3</v>
      </c>
      <c r="AE165" s="4">
        <f>60000000</f>
        <v>60000000</v>
      </c>
      <c r="AF165" s="3" t="s">
        <v>3</v>
      </c>
    </row>
    <row r="166" spans="1:32" s="1" customFormat="1" ht="32.1" customHeight="1" x14ac:dyDescent="0.2">
      <c r="A166" s="7" t="s">
        <v>18</v>
      </c>
      <c r="B166" s="18" t="s">
        <v>209</v>
      </c>
      <c r="C166" s="18"/>
      <c r="D166" s="18"/>
      <c r="E166" s="18"/>
      <c r="F166" s="18"/>
      <c r="G166" s="18"/>
      <c r="H166" s="18"/>
      <c r="I166" s="18"/>
      <c r="J166" s="18" t="s">
        <v>210</v>
      </c>
      <c r="K166" s="18"/>
      <c r="L166" s="18"/>
      <c r="M166" s="18" t="s">
        <v>26</v>
      </c>
      <c r="N166" s="18"/>
      <c r="O166" s="18"/>
      <c r="P166" s="18"/>
      <c r="Q166" s="18"/>
      <c r="R166" s="18"/>
      <c r="S166" s="18"/>
      <c r="T166" s="18"/>
      <c r="U166" s="18"/>
      <c r="V166" s="3" t="s">
        <v>3</v>
      </c>
      <c r="W166" s="19" t="s">
        <v>3</v>
      </c>
      <c r="X166" s="19"/>
      <c r="Y166" s="19"/>
      <c r="Z166" s="19"/>
      <c r="AA166" s="19"/>
      <c r="AB166" s="19"/>
      <c r="AC166" s="4">
        <f>20000000</f>
        <v>20000000</v>
      </c>
      <c r="AD166" s="3" t="s">
        <v>3</v>
      </c>
      <c r="AE166" s="4">
        <f>20000000</f>
        <v>20000000</v>
      </c>
      <c r="AF166" s="3" t="s">
        <v>3</v>
      </c>
    </row>
    <row r="167" spans="1:32" s="1" customFormat="1" ht="24" customHeight="1" x14ac:dyDescent="0.2">
      <c r="A167" s="7" t="s">
        <v>19</v>
      </c>
      <c r="B167" s="18" t="s">
        <v>211</v>
      </c>
      <c r="C167" s="18"/>
      <c r="D167" s="18"/>
      <c r="E167" s="18"/>
      <c r="F167" s="18"/>
      <c r="G167" s="18"/>
      <c r="H167" s="18"/>
      <c r="I167" s="18"/>
      <c r="J167" s="18" t="s">
        <v>212</v>
      </c>
      <c r="K167" s="18"/>
      <c r="L167" s="18"/>
      <c r="M167" s="18" t="s">
        <v>26</v>
      </c>
      <c r="N167" s="18"/>
      <c r="O167" s="18"/>
      <c r="P167" s="18"/>
      <c r="Q167" s="18"/>
      <c r="R167" s="18"/>
      <c r="S167" s="18"/>
      <c r="T167" s="18"/>
      <c r="U167" s="18"/>
      <c r="V167" s="3" t="s">
        <v>3</v>
      </c>
      <c r="W167" s="19" t="s">
        <v>3</v>
      </c>
      <c r="X167" s="19"/>
      <c r="Y167" s="19"/>
      <c r="Z167" s="19"/>
      <c r="AA167" s="19"/>
      <c r="AB167" s="19"/>
      <c r="AC167" s="4">
        <f>12831900</f>
        <v>12831900</v>
      </c>
      <c r="AD167" s="3" t="s">
        <v>3</v>
      </c>
      <c r="AE167" s="4">
        <f>12831900</f>
        <v>12831900</v>
      </c>
      <c r="AF167" s="3" t="s">
        <v>3</v>
      </c>
    </row>
    <row r="168" spans="1:32" s="1" customFormat="1" ht="12" customHeight="1" x14ac:dyDescent="0.2">
      <c r="A168" s="23" t="s">
        <v>221</v>
      </c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6">
        <f>92405000</f>
        <v>92405000</v>
      </c>
      <c r="W168" s="22" t="s">
        <v>3</v>
      </c>
      <c r="X168" s="22"/>
      <c r="Y168" s="22"/>
      <c r="Z168" s="22"/>
      <c r="AA168" s="22"/>
      <c r="AB168" s="22"/>
      <c r="AC168" s="6">
        <f>96155809.03</f>
        <v>96155809.030000001</v>
      </c>
      <c r="AD168" s="6">
        <f>36675159.03</f>
        <v>36675159.030000001</v>
      </c>
      <c r="AE168" s="6">
        <f>151885650</f>
        <v>151885650</v>
      </c>
      <c r="AF168" s="5" t="s">
        <v>3</v>
      </c>
    </row>
    <row r="169" spans="1:32" s="1" customFormat="1" ht="12.95" customHeight="1" x14ac:dyDescent="0.2">
      <c r="A169" s="30" t="s">
        <v>213</v>
      </c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</row>
    <row r="170" spans="1:32" s="1" customFormat="1" ht="24" customHeight="1" x14ac:dyDescent="0.2">
      <c r="A170" s="7" t="s">
        <v>13</v>
      </c>
      <c r="B170" s="18" t="s">
        <v>214</v>
      </c>
      <c r="C170" s="18"/>
      <c r="D170" s="18"/>
      <c r="E170" s="18"/>
      <c r="F170" s="18"/>
      <c r="G170" s="18"/>
      <c r="H170" s="18"/>
      <c r="I170" s="18"/>
      <c r="J170" s="18" t="s">
        <v>154</v>
      </c>
      <c r="K170" s="18"/>
      <c r="L170" s="18"/>
      <c r="M170" s="18" t="s">
        <v>26</v>
      </c>
      <c r="N170" s="18"/>
      <c r="O170" s="18"/>
      <c r="P170" s="18"/>
      <c r="Q170" s="18"/>
      <c r="R170" s="18"/>
      <c r="S170" s="18"/>
      <c r="T170" s="18"/>
      <c r="U170" s="18"/>
      <c r="V170" s="4">
        <f>8000000</f>
        <v>8000000</v>
      </c>
      <c r="W170" s="19" t="s">
        <v>3</v>
      </c>
      <c r="X170" s="19"/>
      <c r="Y170" s="19"/>
      <c r="Z170" s="19"/>
      <c r="AA170" s="19"/>
      <c r="AB170" s="19"/>
      <c r="AC170" s="4">
        <f>314630.14</f>
        <v>314630.14</v>
      </c>
      <c r="AD170" s="4">
        <f>314630.14</f>
        <v>314630.14</v>
      </c>
      <c r="AE170" s="4">
        <f>8000000</f>
        <v>8000000</v>
      </c>
      <c r="AF170" s="3" t="s">
        <v>3</v>
      </c>
    </row>
    <row r="171" spans="1:32" s="1" customFormat="1" ht="14.1" customHeight="1" x14ac:dyDescent="0.2">
      <c r="A171" s="7" t="s">
        <v>14</v>
      </c>
      <c r="B171" s="18" t="s">
        <v>215</v>
      </c>
      <c r="C171" s="18"/>
      <c r="D171" s="18"/>
      <c r="E171" s="18"/>
      <c r="F171" s="18"/>
      <c r="G171" s="18"/>
      <c r="H171" s="18"/>
      <c r="I171" s="18"/>
      <c r="J171" s="18" t="s">
        <v>83</v>
      </c>
      <c r="K171" s="18"/>
      <c r="L171" s="18"/>
      <c r="M171" s="21" t="s">
        <v>232</v>
      </c>
      <c r="N171" s="18"/>
      <c r="O171" s="18"/>
      <c r="P171" s="18"/>
      <c r="Q171" s="18"/>
      <c r="R171" s="18"/>
      <c r="S171" s="18"/>
      <c r="T171" s="18"/>
      <c r="U171" s="18"/>
      <c r="V171" s="4">
        <f>108937</f>
        <v>108937</v>
      </c>
      <c r="W171" s="19" t="s">
        <v>3</v>
      </c>
      <c r="X171" s="19"/>
      <c r="Y171" s="19"/>
      <c r="Z171" s="19"/>
      <c r="AA171" s="19"/>
      <c r="AB171" s="19"/>
      <c r="AC171" s="3" t="s">
        <v>3</v>
      </c>
      <c r="AD171" s="4">
        <f>26928</f>
        <v>26928</v>
      </c>
      <c r="AE171" s="4">
        <f>82009</f>
        <v>82009</v>
      </c>
      <c r="AF171" s="3" t="s">
        <v>3</v>
      </c>
    </row>
    <row r="172" spans="1:32" s="1" customFormat="1" ht="14.1" customHeight="1" x14ac:dyDescent="0.2">
      <c r="A172" s="7" t="s">
        <v>15</v>
      </c>
      <c r="B172" s="18" t="s">
        <v>216</v>
      </c>
      <c r="C172" s="18"/>
      <c r="D172" s="18"/>
      <c r="E172" s="18"/>
      <c r="F172" s="18"/>
      <c r="G172" s="18"/>
      <c r="H172" s="18"/>
      <c r="I172" s="18"/>
      <c r="J172" s="18" t="s">
        <v>83</v>
      </c>
      <c r="K172" s="18"/>
      <c r="L172" s="18"/>
      <c r="M172" s="21" t="s">
        <v>232</v>
      </c>
      <c r="N172" s="18"/>
      <c r="O172" s="18"/>
      <c r="P172" s="18"/>
      <c r="Q172" s="18"/>
      <c r="R172" s="18"/>
      <c r="S172" s="18"/>
      <c r="T172" s="18"/>
      <c r="U172" s="18"/>
      <c r="V172" s="4">
        <f>71156</f>
        <v>71156</v>
      </c>
      <c r="W172" s="19" t="s">
        <v>3</v>
      </c>
      <c r="X172" s="19"/>
      <c r="Y172" s="19"/>
      <c r="Z172" s="19"/>
      <c r="AA172" s="19"/>
      <c r="AB172" s="19"/>
      <c r="AC172" s="3" t="s">
        <v>3</v>
      </c>
      <c r="AD172" s="4">
        <f>16826</f>
        <v>16826</v>
      </c>
      <c r="AE172" s="4">
        <f>54330</f>
        <v>54330</v>
      </c>
      <c r="AF172" s="3" t="s">
        <v>3</v>
      </c>
    </row>
    <row r="173" spans="1:32" s="1" customFormat="1" ht="12" customHeight="1" x14ac:dyDescent="0.2">
      <c r="A173" s="23" t="s">
        <v>221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6">
        <f>8180093</f>
        <v>8180093</v>
      </c>
      <c r="W173" s="22" t="s">
        <v>3</v>
      </c>
      <c r="X173" s="22"/>
      <c r="Y173" s="22"/>
      <c r="Z173" s="22"/>
      <c r="AA173" s="22"/>
      <c r="AB173" s="22"/>
      <c r="AC173" s="6">
        <f>314630.14</f>
        <v>314630.14</v>
      </c>
      <c r="AD173" s="6">
        <f>358384.14</f>
        <v>358384.14</v>
      </c>
      <c r="AE173" s="6">
        <f>8136339</f>
        <v>8136339</v>
      </c>
      <c r="AF173" s="5" t="s">
        <v>3</v>
      </c>
    </row>
    <row r="174" spans="1:32" s="1" customFormat="1" x14ac:dyDescent="0.2">
      <c r="A174" s="22" t="s">
        <v>217</v>
      </c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6">
        <f>1203843218.03</f>
        <v>1203843218.03</v>
      </c>
      <c r="W174" s="22" t="s">
        <v>3</v>
      </c>
      <c r="X174" s="22"/>
      <c r="Y174" s="22"/>
      <c r="Z174" s="22"/>
      <c r="AA174" s="22"/>
      <c r="AB174" s="22"/>
      <c r="AC174" s="6">
        <f>613711203.03</f>
        <v>613711203.02999997</v>
      </c>
      <c r="AD174" s="6">
        <f>583651679.24</f>
        <v>583651679.24000001</v>
      </c>
      <c r="AE174" s="6">
        <f>1233902741.82</f>
        <v>1233902741.8199999</v>
      </c>
      <c r="AF174" s="5" t="s">
        <v>3</v>
      </c>
    </row>
    <row r="175" spans="1:32" s="1" customFormat="1" ht="14.1" customHeight="1" x14ac:dyDescent="0.2">
      <c r="A175" s="32" t="s">
        <v>3</v>
      </c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</row>
  </sheetData>
  <mergeCells count="538">
    <mergeCell ref="A173:U173"/>
    <mergeCell ref="W173:AB173"/>
    <mergeCell ref="A174:U174"/>
    <mergeCell ref="W174:AB174"/>
    <mergeCell ref="A175:AF175"/>
    <mergeCell ref="B171:I171"/>
    <mergeCell ref="J171:L171"/>
    <mergeCell ref="M171:U171"/>
    <mergeCell ref="W171:AB171"/>
    <mergeCell ref="B172:I172"/>
    <mergeCell ref="J172:L172"/>
    <mergeCell ref="M172:U172"/>
    <mergeCell ref="W172:AB172"/>
    <mergeCell ref="A168:U168"/>
    <mergeCell ref="W168:AB168"/>
    <mergeCell ref="A169:AF169"/>
    <mergeCell ref="B170:I170"/>
    <mergeCell ref="J170:L170"/>
    <mergeCell ref="M170:U170"/>
    <mergeCell ref="W170:AB170"/>
    <mergeCell ref="B165:I165"/>
    <mergeCell ref="J165:L165"/>
    <mergeCell ref="M165:U165"/>
    <mergeCell ref="W165:AB165"/>
    <mergeCell ref="B166:I166"/>
    <mergeCell ref="J166:L166"/>
    <mergeCell ref="M166:U166"/>
    <mergeCell ref="W166:AB166"/>
    <mergeCell ref="B167:I167"/>
    <mergeCell ref="J167:L167"/>
    <mergeCell ref="M167:U167"/>
    <mergeCell ref="W167:AB167"/>
    <mergeCell ref="B162:I162"/>
    <mergeCell ref="J162:L162"/>
    <mergeCell ref="M162:U162"/>
    <mergeCell ref="W162:AB162"/>
    <mergeCell ref="B163:I163"/>
    <mergeCell ref="J163:L163"/>
    <mergeCell ref="M163:U163"/>
    <mergeCell ref="W163:AB163"/>
    <mergeCell ref="B164:I164"/>
    <mergeCell ref="J164:L164"/>
    <mergeCell ref="M164:U164"/>
    <mergeCell ref="W164:AB164"/>
    <mergeCell ref="B156:I156"/>
    <mergeCell ref="J156:L156"/>
    <mergeCell ref="M156:U156"/>
    <mergeCell ref="W156:AB156"/>
    <mergeCell ref="A157:U157"/>
    <mergeCell ref="W157:AB157"/>
    <mergeCell ref="A160:AF160"/>
    <mergeCell ref="B161:I161"/>
    <mergeCell ref="J161:L161"/>
    <mergeCell ref="M161:U161"/>
    <mergeCell ref="W161:AB161"/>
    <mergeCell ref="A158:AF158"/>
    <mergeCell ref="B159:I159"/>
    <mergeCell ref="J159:L159"/>
    <mergeCell ref="M159:U159"/>
    <mergeCell ref="W159:AB159"/>
    <mergeCell ref="B153:I153"/>
    <mergeCell ref="J153:L153"/>
    <mergeCell ref="M153:U153"/>
    <mergeCell ref="W153:AB153"/>
    <mergeCell ref="B154:I154"/>
    <mergeCell ref="J154:L154"/>
    <mergeCell ref="M154:U154"/>
    <mergeCell ref="W154:AB154"/>
    <mergeCell ref="B155:I155"/>
    <mergeCell ref="J155:L155"/>
    <mergeCell ref="M155:U155"/>
    <mergeCell ref="W155:AB155"/>
    <mergeCell ref="B150:I150"/>
    <mergeCell ref="J150:L150"/>
    <mergeCell ref="M150:U150"/>
    <mergeCell ref="W150:AB150"/>
    <mergeCell ref="B151:I151"/>
    <mergeCell ref="J151:L151"/>
    <mergeCell ref="M151:U151"/>
    <mergeCell ref="W151:AB151"/>
    <mergeCell ref="B152:I152"/>
    <mergeCell ref="J152:L152"/>
    <mergeCell ref="M152:U152"/>
    <mergeCell ref="W152:AB152"/>
    <mergeCell ref="A148:AF148"/>
    <mergeCell ref="B149:I149"/>
    <mergeCell ref="J149:L149"/>
    <mergeCell ref="M149:U149"/>
    <mergeCell ref="W149:AB149"/>
    <mergeCell ref="B146:I146"/>
    <mergeCell ref="J146:L146"/>
    <mergeCell ref="M146:U146"/>
    <mergeCell ref="W146:AB146"/>
    <mergeCell ref="A147:U147"/>
    <mergeCell ref="B142:I142"/>
    <mergeCell ref="J142:L142"/>
    <mergeCell ref="M142:U142"/>
    <mergeCell ref="W142:AB142"/>
    <mergeCell ref="W147:AB147"/>
    <mergeCell ref="A143:U143"/>
    <mergeCell ref="W143:AB143"/>
    <mergeCell ref="A144:AF144"/>
    <mergeCell ref="B145:I145"/>
    <mergeCell ref="J145:L145"/>
    <mergeCell ref="M145:U145"/>
    <mergeCell ref="W145:AB145"/>
    <mergeCell ref="B139:I139"/>
    <mergeCell ref="J139:L139"/>
    <mergeCell ref="M139:U139"/>
    <mergeCell ref="W139:AB139"/>
    <mergeCell ref="B140:I140"/>
    <mergeCell ref="J140:L140"/>
    <mergeCell ref="M140:U140"/>
    <mergeCell ref="W140:AB140"/>
    <mergeCell ref="B141:I141"/>
    <mergeCell ref="J141:L141"/>
    <mergeCell ref="M141:U141"/>
    <mergeCell ref="W141:AB141"/>
    <mergeCell ref="A137:AF137"/>
    <mergeCell ref="B138:I138"/>
    <mergeCell ref="J138:L138"/>
    <mergeCell ref="M138:U138"/>
    <mergeCell ref="W138:AB138"/>
    <mergeCell ref="B135:I135"/>
    <mergeCell ref="J135:L135"/>
    <mergeCell ref="M135:U135"/>
    <mergeCell ref="W135:AB135"/>
    <mergeCell ref="A136:U136"/>
    <mergeCell ref="W136:AB136"/>
    <mergeCell ref="B133:I133"/>
    <mergeCell ref="J133:L133"/>
    <mergeCell ref="M133:U133"/>
    <mergeCell ref="W133:AB133"/>
    <mergeCell ref="B134:I134"/>
    <mergeCell ref="J134:L134"/>
    <mergeCell ref="M134:U134"/>
    <mergeCell ref="W134:AB134"/>
    <mergeCell ref="B130:I130"/>
    <mergeCell ref="J130:L130"/>
    <mergeCell ref="M130:U130"/>
    <mergeCell ref="W130:AB130"/>
    <mergeCell ref="B131:I131"/>
    <mergeCell ref="J131:L131"/>
    <mergeCell ref="M131:U131"/>
    <mergeCell ref="W131:AB131"/>
    <mergeCell ref="B132:I132"/>
    <mergeCell ref="J132:L132"/>
    <mergeCell ref="M132:U132"/>
    <mergeCell ref="W132:AB132"/>
    <mergeCell ref="A126:U126"/>
    <mergeCell ref="W126:AB126"/>
    <mergeCell ref="A127:AF127"/>
    <mergeCell ref="B128:I128"/>
    <mergeCell ref="J128:L128"/>
    <mergeCell ref="M128:U128"/>
    <mergeCell ref="W128:AB128"/>
    <mergeCell ref="B129:I129"/>
    <mergeCell ref="J129:L129"/>
    <mergeCell ref="M129:U129"/>
    <mergeCell ref="W129:AB129"/>
    <mergeCell ref="B123:I123"/>
    <mergeCell ref="J123:L123"/>
    <mergeCell ref="M123:U123"/>
    <mergeCell ref="W123:AB123"/>
    <mergeCell ref="B124:I124"/>
    <mergeCell ref="J124:L124"/>
    <mergeCell ref="M124:U124"/>
    <mergeCell ref="W124:AB124"/>
    <mergeCell ref="B125:I125"/>
    <mergeCell ref="J125:L125"/>
    <mergeCell ref="M125:U125"/>
    <mergeCell ref="W125:AB125"/>
    <mergeCell ref="B120:I120"/>
    <mergeCell ref="J120:L120"/>
    <mergeCell ref="M120:U120"/>
    <mergeCell ref="W120:AB120"/>
    <mergeCell ref="B121:I121"/>
    <mergeCell ref="J121:L121"/>
    <mergeCell ref="M121:U121"/>
    <mergeCell ref="W121:AB121"/>
    <mergeCell ref="B122:I122"/>
    <mergeCell ref="J122:L122"/>
    <mergeCell ref="M122:U122"/>
    <mergeCell ref="W122:AB122"/>
    <mergeCell ref="A115:U115"/>
    <mergeCell ref="W115:AB115"/>
    <mergeCell ref="A118:AF118"/>
    <mergeCell ref="B119:I119"/>
    <mergeCell ref="J119:L119"/>
    <mergeCell ref="M119:U119"/>
    <mergeCell ref="W119:AB119"/>
    <mergeCell ref="A116:AF116"/>
    <mergeCell ref="B117:I117"/>
    <mergeCell ref="J117:L117"/>
    <mergeCell ref="M117:U117"/>
    <mergeCell ref="W117:AB117"/>
    <mergeCell ref="B112:I112"/>
    <mergeCell ref="J112:L112"/>
    <mergeCell ref="M112:U112"/>
    <mergeCell ref="W112:AB112"/>
    <mergeCell ref="B113:I113"/>
    <mergeCell ref="J113:L113"/>
    <mergeCell ref="M113:U113"/>
    <mergeCell ref="W113:AB113"/>
    <mergeCell ref="B114:I114"/>
    <mergeCell ref="J114:L114"/>
    <mergeCell ref="M114:U114"/>
    <mergeCell ref="W114:AB114"/>
    <mergeCell ref="W109:AB109"/>
    <mergeCell ref="A106:AF106"/>
    <mergeCell ref="B107:I107"/>
    <mergeCell ref="J107:L107"/>
    <mergeCell ref="M107:U107"/>
    <mergeCell ref="W107:AB107"/>
    <mergeCell ref="A110:AF110"/>
    <mergeCell ref="B111:I111"/>
    <mergeCell ref="J111:L111"/>
    <mergeCell ref="M111:U111"/>
    <mergeCell ref="W111:AB111"/>
    <mergeCell ref="B108:I108"/>
    <mergeCell ref="J108:L108"/>
    <mergeCell ref="M108:U108"/>
    <mergeCell ref="W108:AB108"/>
    <mergeCell ref="A109:U109"/>
    <mergeCell ref="A104:AF104"/>
    <mergeCell ref="B105:I105"/>
    <mergeCell ref="J105:L105"/>
    <mergeCell ref="M105:U105"/>
    <mergeCell ref="W105:AB105"/>
    <mergeCell ref="B102:I102"/>
    <mergeCell ref="J102:L102"/>
    <mergeCell ref="M102:U102"/>
    <mergeCell ref="W102:AB102"/>
    <mergeCell ref="A103:U103"/>
    <mergeCell ref="A98:AF98"/>
    <mergeCell ref="B99:I99"/>
    <mergeCell ref="J99:L99"/>
    <mergeCell ref="M99:U99"/>
    <mergeCell ref="W99:AB99"/>
    <mergeCell ref="W103:AB103"/>
    <mergeCell ref="B100:I100"/>
    <mergeCell ref="J100:L100"/>
    <mergeCell ref="M100:U100"/>
    <mergeCell ref="W100:AB100"/>
    <mergeCell ref="B101:I101"/>
    <mergeCell ref="J101:L101"/>
    <mergeCell ref="M101:U101"/>
    <mergeCell ref="W101:AB101"/>
    <mergeCell ref="B95:I95"/>
    <mergeCell ref="J95:L95"/>
    <mergeCell ref="M95:U95"/>
    <mergeCell ref="W95:AB95"/>
    <mergeCell ref="B96:I96"/>
    <mergeCell ref="J96:L96"/>
    <mergeCell ref="M96:U96"/>
    <mergeCell ref="W96:AB96"/>
    <mergeCell ref="A97:U97"/>
    <mergeCell ref="W97:AB97"/>
    <mergeCell ref="B92:I92"/>
    <mergeCell ref="J92:L92"/>
    <mergeCell ref="M92:U92"/>
    <mergeCell ref="W92:AB92"/>
    <mergeCell ref="B93:I93"/>
    <mergeCell ref="J93:L93"/>
    <mergeCell ref="M93:U93"/>
    <mergeCell ref="W93:AB93"/>
    <mergeCell ref="B94:I94"/>
    <mergeCell ref="J94:L94"/>
    <mergeCell ref="M94:U94"/>
    <mergeCell ref="W94:AB94"/>
    <mergeCell ref="B89:I89"/>
    <mergeCell ref="J89:L89"/>
    <mergeCell ref="M89:U89"/>
    <mergeCell ref="W89:AB89"/>
    <mergeCell ref="B90:I90"/>
    <mergeCell ref="J90:L90"/>
    <mergeCell ref="M90:U90"/>
    <mergeCell ref="W90:AB90"/>
    <mergeCell ref="B91:I91"/>
    <mergeCell ref="J91:L91"/>
    <mergeCell ref="M91:U91"/>
    <mergeCell ref="W91:AB91"/>
    <mergeCell ref="W86:AB86"/>
    <mergeCell ref="A83:AF83"/>
    <mergeCell ref="B84:I84"/>
    <mergeCell ref="J84:L84"/>
    <mergeCell ref="M84:U84"/>
    <mergeCell ref="W84:AB84"/>
    <mergeCell ref="A87:AF87"/>
    <mergeCell ref="B88:I88"/>
    <mergeCell ref="J88:L88"/>
    <mergeCell ref="M88:U88"/>
    <mergeCell ref="W88:AB88"/>
    <mergeCell ref="B85:I85"/>
    <mergeCell ref="J85:L85"/>
    <mergeCell ref="M85:U85"/>
    <mergeCell ref="W85:AB85"/>
    <mergeCell ref="A86:U86"/>
    <mergeCell ref="B80:I80"/>
    <mergeCell ref="J80:L80"/>
    <mergeCell ref="M80:U80"/>
    <mergeCell ref="W80:AB80"/>
    <mergeCell ref="B81:I81"/>
    <mergeCell ref="J81:L81"/>
    <mergeCell ref="M81:U81"/>
    <mergeCell ref="W81:AB81"/>
    <mergeCell ref="A82:U82"/>
    <mergeCell ref="W82:AB82"/>
    <mergeCell ref="A77:AF77"/>
    <mergeCell ref="B78:I78"/>
    <mergeCell ref="J78:L78"/>
    <mergeCell ref="M78:U78"/>
    <mergeCell ref="W78:AB78"/>
    <mergeCell ref="B79:I79"/>
    <mergeCell ref="J79:L79"/>
    <mergeCell ref="M79:U79"/>
    <mergeCell ref="W79:AB79"/>
    <mergeCell ref="B74:I74"/>
    <mergeCell ref="J74:L74"/>
    <mergeCell ref="M74:U74"/>
    <mergeCell ref="W74:AB74"/>
    <mergeCell ref="B75:I75"/>
    <mergeCell ref="J75:L75"/>
    <mergeCell ref="M75:U75"/>
    <mergeCell ref="W75:AB75"/>
    <mergeCell ref="A76:U76"/>
    <mergeCell ref="W76:AB76"/>
    <mergeCell ref="A72:AF72"/>
    <mergeCell ref="B73:I73"/>
    <mergeCell ref="J73:L73"/>
    <mergeCell ref="M73:U73"/>
    <mergeCell ref="W73:AB73"/>
    <mergeCell ref="B70:I70"/>
    <mergeCell ref="J70:L70"/>
    <mergeCell ref="M70:U70"/>
    <mergeCell ref="W70:AB70"/>
    <mergeCell ref="A71:U71"/>
    <mergeCell ref="W71:AB71"/>
    <mergeCell ref="B68:I68"/>
    <mergeCell ref="J68:L68"/>
    <mergeCell ref="M68:U68"/>
    <mergeCell ref="W68:AB68"/>
    <mergeCell ref="B69:I69"/>
    <mergeCell ref="J69:L69"/>
    <mergeCell ref="M69:U69"/>
    <mergeCell ref="W69:AB69"/>
    <mergeCell ref="W65:AB65"/>
    <mergeCell ref="A62:AF62"/>
    <mergeCell ref="B63:I63"/>
    <mergeCell ref="J63:L63"/>
    <mergeCell ref="M63:U63"/>
    <mergeCell ref="W63:AB63"/>
    <mergeCell ref="A66:AF66"/>
    <mergeCell ref="B67:I67"/>
    <mergeCell ref="J67:L67"/>
    <mergeCell ref="M67:U67"/>
    <mergeCell ref="W67:AB67"/>
    <mergeCell ref="B64:I64"/>
    <mergeCell ref="J64:L64"/>
    <mergeCell ref="M64:U64"/>
    <mergeCell ref="W64:AB64"/>
    <mergeCell ref="A65:U65"/>
    <mergeCell ref="B59:I59"/>
    <mergeCell ref="J59:L59"/>
    <mergeCell ref="M59:U59"/>
    <mergeCell ref="W59:AB59"/>
    <mergeCell ref="B60:I60"/>
    <mergeCell ref="J60:L60"/>
    <mergeCell ref="M60:U60"/>
    <mergeCell ref="W60:AB60"/>
    <mergeCell ref="A61:U61"/>
    <mergeCell ref="W61:AB61"/>
    <mergeCell ref="B56:I56"/>
    <mergeCell ref="J56:L56"/>
    <mergeCell ref="M56:U56"/>
    <mergeCell ref="W56:AB56"/>
    <mergeCell ref="B57:I57"/>
    <mergeCell ref="J57:L57"/>
    <mergeCell ref="M57:U57"/>
    <mergeCell ref="W57:AB57"/>
    <mergeCell ref="B58:I58"/>
    <mergeCell ref="J58:L58"/>
    <mergeCell ref="M58:U58"/>
    <mergeCell ref="W58:AB58"/>
    <mergeCell ref="A54:AF54"/>
    <mergeCell ref="B55:I55"/>
    <mergeCell ref="J55:L55"/>
    <mergeCell ref="M55:U55"/>
    <mergeCell ref="W55:AB55"/>
    <mergeCell ref="A52:AF52"/>
    <mergeCell ref="B53:I53"/>
    <mergeCell ref="J53:L53"/>
    <mergeCell ref="M53:U53"/>
    <mergeCell ref="W53:AB53"/>
    <mergeCell ref="B51:I51"/>
    <mergeCell ref="J51:L51"/>
    <mergeCell ref="M51:U51"/>
    <mergeCell ref="W51:AB51"/>
    <mergeCell ref="B48:I48"/>
    <mergeCell ref="J48:L48"/>
    <mergeCell ref="M48:U48"/>
    <mergeCell ref="W48:AB48"/>
    <mergeCell ref="A49:U49"/>
    <mergeCell ref="A45:U45"/>
    <mergeCell ref="W45:AB45"/>
    <mergeCell ref="W49:AB49"/>
    <mergeCell ref="A46:AF46"/>
    <mergeCell ref="B47:I47"/>
    <mergeCell ref="J47:L47"/>
    <mergeCell ref="M47:U47"/>
    <mergeCell ref="W47:AB47"/>
    <mergeCell ref="A50:AF50"/>
    <mergeCell ref="A42:AF42"/>
    <mergeCell ref="B43:I43"/>
    <mergeCell ref="J43:L43"/>
    <mergeCell ref="M43:U43"/>
    <mergeCell ref="W43:AB43"/>
    <mergeCell ref="B44:I44"/>
    <mergeCell ref="J44:L44"/>
    <mergeCell ref="M44:U44"/>
    <mergeCell ref="W44:AB44"/>
    <mergeCell ref="B39:I39"/>
    <mergeCell ref="J39:L39"/>
    <mergeCell ref="M39:U39"/>
    <mergeCell ref="W39:AB39"/>
    <mergeCell ref="B40:I40"/>
    <mergeCell ref="J40:L40"/>
    <mergeCell ref="M40:U40"/>
    <mergeCell ref="W40:AB40"/>
    <mergeCell ref="A41:U41"/>
    <mergeCell ref="W41:AB41"/>
    <mergeCell ref="A37:AF37"/>
    <mergeCell ref="B38:I38"/>
    <mergeCell ref="J38:L38"/>
    <mergeCell ref="M38:U38"/>
    <mergeCell ref="W38:AB38"/>
    <mergeCell ref="B35:I35"/>
    <mergeCell ref="J35:L35"/>
    <mergeCell ref="M35:U35"/>
    <mergeCell ref="W35:AB35"/>
    <mergeCell ref="A36:U36"/>
    <mergeCell ref="B31:I31"/>
    <mergeCell ref="J31:L31"/>
    <mergeCell ref="M31:U31"/>
    <mergeCell ref="W31:AB31"/>
    <mergeCell ref="B32:I32"/>
    <mergeCell ref="J32:L32"/>
    <mergeCell ref="M32:U32"/>
    <mergeCell ref="W32:AB32"/>
    <mergeCell ref="W36:AB36"/>
    <mergeCell ref="B33:I33"/>
    <mergeCell ref="J33:L33"/>
    <mergeCell ref="M33:U33"/>
    <mergeCell ref="W33:AB33"/>
    <mergeCell ref="B34:I34"/>
    <mergeCell ref="J34:L34"/>
    <mergeCell ref="M34:U34"/>
    <mergeCell ref="W34:AB34"/>
    <mergeCell ref="A29:AF29"/>
    <mergeCell ref="B30:I30"/>
    <mergeCell ref="J30:L30"/>
    <mergeCell ref="M30:U30"/>
    <mergeCell ref="W30:AB30"/>
    <mergeCell ref="B27:I27"/>
    <mergeCell ref="J27:L27"/>
    <mergeCell ref="M27:U27"/>
    <mergeCell ref="W27:AB27"/>
    <mergeCell ref="A28:U28"/>
    <mergeCell ref="B23:I23"/>
    <mergeCell ref="J23:L23"/>
    <mergeCell ref="M23:U23"/>
    <mergeCell ref="W23:AB23"/>
    <mergeCell ref="A24:U24"/>
    <mergeCell ref="W24:AB24"/>
    <mergeCell ref="W28:AB28"/>
    <mergeCell ref="A25:AF25"/>
    <mergeCell ref="B26:I26"/>
    <mergeCell ref="J26:L26"/>
    <mergeCell ref="M26:U26"/>
    <mergeCell ref="W26:AB26"/>
    <mergeCell ref="A21:AF21"/>
    <mergeCell ref="B22:I22"/>
    <mergeCell ref="J22:L22"/>
    <mergeCell ref="M22:U22"/>
    <mergeCell ref="W22:AB22"/>
    <mergeCell ref="B19:I19"/>
    <mergeCell ref="J19:L19"/>
    <mergeCell ref="M19:U19"/>
    <mergeCell ref="W19:AB19"/>
    <mergeCell ref="A20:U20"/>
    <mergeCell ref="B14:I14"/>
    <mergeCell ref="J14:L14"/>
    <mergeCell ref="M14:U14"/>
    <mergeCell ref="W14:AB14"/>
    <mergeCell ref="B15:I15"/>
    <mergeCell ref="J15:L15"/>
    <mergeCell ref="M15:U15"/>
    <mergeCell ref="W15:AB15"/>
    <mergeCell ref="W20:AB20"/>
    <mergeCell ref="A16:U16"/>
    <mergeCell ref="W16:AB16"/>
    <mergeCell ref="A17:AF17"/>
    <mergeCell ref="B18:I18"/>
    <mergeCell ref="J18:L18"/>
    <mergeCell ref="M18:U18"/>
    <mergeCell ref="W18:AB18"/>
    <mergeCell ref="A12:AF12"/>
    <mergeCell ref="B13:I13"/>
    <mergeCell ref="J13:L13"/>
    <mergeCell ref="M13:U13"/>
    <mergeCell ref="W13:AB13"/>
    <mergeCell ref="A10:AF10"/>
    <mergeCell ref="B11:I11"/>
    <mergeCell ref="J11:L11"/>
    <mergeCell ref="M11:U11"/>
    <mergeCell ref="W11:AB11"/>
    <mergeCell ref="B7:I7"/>
    <mergeCell ref="J7:L7"/>
    <mergeCell ref="M7:U7"/>
    <mergeCell ref="W7:AB7"/>
    <mergeCell ref="A8:AF8"/>
    <mergeCell ref="B9:I9"/>
    <mergeCell ref="J9:L9"/>
    <mergeCell ref="M9:U9"/>
    <mergeCell ref="W9:AB9"/>
    <mergeCell ref="A1:AF1"/>
    <mergeCell ref="A2:AF2"/>
    <mergeCell ref="A3:AA3"/>
    <mergeCell ref="AB3:AF3"/>
    <mergeCell ref="A4:AF4"/>
    <mergeCell ref="A5:A6"/>
    <mergeCell ref="B5:I6"/>
    <mergeCell ref="J5:L6"/>
    <mergeCell ref="M5:U6"/>
    <mergeCell ref="V5:AB5"/>
    <mergeCell ref="AC5:AD5"/>
    <mergeCell ref="AE5:AF5"/>
    <mergeCell ref="W6:AB6"/>
  </mergeCells>
  <pageMargins left="0.39370078740157483" right="0" top="0.78740157480314965" bottom="0" header="0.51181102362204722" footer="0.51181102362204722"/>
  <pageSetup paperSize="9" firstPageNumber="4294967295" orientation="landscape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20711 Информация о б</vt:lpstr>
      <vt:lpstr>'20711 Информация о б'!Заголовки_для_печати</vt:lpstr>
      <vt:lpstr>'20711 Информация о 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Кукина Ирина Васильевна</cp:lastModifiedBy>
  <cp:lastPrinted>2016-05-06T10:29:17Z</cp:lastPrinted>
  <dcterms:created xsi:type="dcterms:W3CDTF">2016-05-06T10:10:02Z</dcterms:created>
  <dcterms:modified xsi:type="dcterms:W3CDTF">2016-05-10T13:27:08Z</dcterms:modified>
</cp:coreProperties>
</file>