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5" yWindow="135" windowWidth="10815" windowHeight="12675"/>
  </bookViews>
  <sheets>
    <sheet name="Лист1" sheetId="1" r:id="rId1"/>
    <sheet name="Лист2" sheetId="2" r:id="rId2"/>
  </sheets>
  <definedNames>
    <definedName name="_xlnm._FilterDatabase" localSheetId="0" hidden="1">Лист1!$A$1:$K$1</definedName>
    <definedName name="_xlnm._FilterDatabase" localSheetId="1" hidden="1">Лист2!$A$6:$J$483</definedName>
    <definedName name="_xlnm.Print_Titles" localSheetId="0">Лист1!$6:$8</definedName>
    <definedName name="_xlnm.Print_Area" localSheetId="0">Лист1!$A$1:$J$715</definedName>
  </definedNames>
  <calcPr calcId="145621"/>
</workbook>
</file>

<file path=xl/calcChain.xml><?xml version="1.0" encoding="utf-8"?>
<calcChain xmlns="http://schemas.openxmlformats.org/spreadsheetml/2006/main">
  <c r="G298" i="1" l="1"/>
  <c r="G299" i="1"/>
  <c r="H300" i="1"/>
  <c r="F465" i="1" l="1"/>
  <c r="F197" i="1"/>
  <c r="F552" i="1" l="1"/>
  <c r="F496" i="1"/>
  <c r="C593" i="1" l="1"/>
  <c r="D593" i="1"/>
  <c r="E593" i="1"/>
  <c r="G593" i="1"/>
  <c r="F593" i="1"/>
  <c r="F234" i="1" l="1"/>
  <c r="F69" i="1"/>
  <c r="F106" i="1" l="1"/>
  <c r="F75" i="1" l="1"/>
  <c r="M2" i="2" l="1"/>
  <c r="L2" i="2"/>
  <c r="K52" i="2" l="1"/>
  <c r="K50" i="2"/>
  <c r="K49" i="2"/>
  <c r="K47" i="2"/>
  <c r="K46" i="2"/>
  <c r="K44" i="2"/>
  <c r="K33" i="2"/>
  <c r="K7" i="2"/>
  <c r="K4" i="2"/>
  <c r="K3" i="2"/>
  <c r="K1" i="2"/>
  <c r="K2" i="2"/>
  <c r="K29" i="2"/>
  <c r="K9" i="2"/>
  <c r="J9" i="2"/>
  <c r="K8" i="2"/>
  <c r="D232" i="1"/>
  <c r="E232" i="1"/>
  <c r="F232" i="1"/>
  <c r="G232" i="1"/>
  <c r="H232" i="1"/>
  <c r="I232" i="1"/>
  <c r="C232" i="1"/>
  <c r="G417" i="1"/>
  <c r="G112" i="1" l="1"/>
  <c r="C412" i="1" l="1"/>
  <c r="D439" i="1"/>
  <c r="E439" i="1"/>
  <c r="F439" i="1"/>
  <c r="G439" i="1"/>
  <c r="H439" i="1"/>
  <c r="I439" i="1"/>
  <c r="C439" i="1"/>
  <c r="G464" i="1" l="1"/>
  <c r="F476" i="1"/>
  <c r="F200" i="1"/>
  <c r="F170" i="1"/>
  <c r="G103" i="1" l="1"/>
  <c r="C104" i="1"/>
  <c r="C103" i="1" s="1"/>
  <c r="F281" i="1" l="1"/>
  <c r="D281" i="1"/>
  <c r="E281" i="1"/>
  <c r="G281" i="1"/>
  <c r="H281" i="1"/>
  <c r="I281" i="1"/>
  <c r="C281" i="1"/>
  <c r="G316" i="1" l="1"/>
  <c r="I446" i="1" l="1"/>
  <c r="H446" i="1"/>
  <c r="G446" i="1"/>
  <c r="F446" i="1"/>
  <c r="E446" i="1"/>
  <c r="D446" i="1"/>
  <c r="C446" i="1"/>
  <c r="C385" i="1" l="1"/>
  <c r="D377" i="1"/>
  <c r="E377" i="1"/>
  <c r="F377" i="1"/>
  <c r="G377" i="1"/>
  <c r="H377" i="1"/>
  <c r="I377" i="1"/>
  <c r="C377" i="1"/>
  <c r="E538" i="1" l="1"/>
  <c r="G538" i="1"/>
  <c r="H538" i="1"/>
  <c r="I538" i="1"/>
  <c r="C538" i="1"/>
  <c r="E529" i="1"/>
  <c r="G529" i="1"/>
  <c r="H529" i="1"/>
  <c r="I529" i="1"/>
  <c r="C529" i="1"/>
  <c r="D179" i="1"/>
  <c r="E179" i="1"/>
  <c r="F179" i="1"/>
  <c r="G179" i="1"/>
  <c r="H179" i="1"/>
  <c r="I179" i="1"/>
  <c r="C179" i="1"/>
  <c r="D146" i="1"/>
  <c r="E146" i="1"/>
  <c r="F146" i="1"/>
  <c r="G146" i="1"/>
  <c r="H146" i="1"/>
  <c r="I146" i="1"/>
  <c r="C146" i="1"/>
  <c r="F131" i="1"/>
  <c r="F103" i="1" s="1"/>
  <c r="D131" i="1"/>
  <c r="E130" i="1"/>
  <c r="E103" i="1" s="1"/>
  <c r="D130" i="1"/>
  <c r="D128" i="1"/>
  <c r="D127" i="1"/>
  <c r="D126" i="1"/>
  <c r="I122" i="1"/>
  <c r="H122" i="1"/>
  <c r="D122" i="1"/>
  <c r="D121" i="1"/>
  <c r="D103" i="1" s="1"/>
  <c r="I120" i="1"/>
  <c r="H120" i="1"/>
  <c r="H110" i="1"/>
  <c r="I103" i="1"/>
  <c r="H103" i="1"/>
  <c r="D89" i="1"/>
  <c r="E89" i="1"/>
  <c r="F89" i="1"/>
  <c r="G89" i="1"/>
  <c r="H89" i="1"/>
  <c r="I89" i="1"/>
  <c r="C89" i="1"/>
  <c r="D83" i="1"/>
  <c r="E83" i="1"/>
  <c r="F83" i="1"/>
  <c r="G83" i="1"/>
  <c r="C83" i="1"/>
  <c r="I85" i="1"/>
  <c r="I83" i="1" s="1"/>
  <c r="H85" i="1"/>
  <c r="H83" i="1" s="1"/>
  <c r="E45" i="1"/>
  <c r="G45" i="1"/>
  <c r="C45" i="1"/>
  <c r="D63" i="1"/>
  <c r="D59" i="1"/>
  <c r="D58" i="1"/>
  <c r="I47" i="1"/>
  <c r="H47" i="1"/>
  <c r="D14" i="1"/>
  <c r="E14" i="1"/>
  <c r="F14" i="1"/>
  <c r="G14" i="1"/>
  <c r="H14" i="1"/>
  <c r="I14" i="1"/>
  <c r="C14" i="1"/>
  <c r="F45" i="1" l="1"/>
  <c r="I45" i="1"/>
  <c r="H45" i="1"/>
  <c r="D45" i="1"/>
  <c r="D398" i="1" l="1"/>
  <c r="E398" i="1"/>
  <c r="F398" i="1"/>
  <c r="G398" i="1"/>
  <c r="H398" i="1"/>
  <c r="I398" i="1"/>
  <c r="C398" i="1"/>
  <c r="D468" i="1" l="1"/>
  <c r="C632" i="1"/>
  <c r="D630" i="1"/>
  <c r="E630" i="1"/>
  <c r="F630" i="1"/>
  <c r="G630" i="1"/>
  <c r="H630" i="1"/>
  <c r="I630" i="1"/>
  <c r="C630" i="1"/>
  <c r="D626" i="1"/>
  <c r="E626" i="1"/>
  <c r="F626" i="1"/>
  <c r="G626" i="1"/>
  <c r="H626" i="1"/>
  <c r="I626" i="1"/>
  <c r="C626" i="1"/>
  <c r="D710" i="1"/>
  <c r="E710" i="1"/>
  <c r="F710" i="1"/>
  <c r="G710" i="1"/>
  <c r="H710" i="1"/>
  <c r="I710" i="1"/>
  <c r="C710" i="1"/>
  <c r="D704" i="1"/>
  <c r="E704" i="1"/>
  <c r="F704" i="1"/>
  <c r="G704" i="1"/>
  <c r="H704" i="1"/>
  <c r="I704" i="1"/>
  <c r="C704" i="1"/>
  <c r="D700" i="1"/>
  <c r="E700" i="1"/>
  <c r="F700" i="1"/>
  <c r="G700" i="1"/>
  <c r="H700" i="1"/>
  <c r="I700" i="1"/>
  <c r="C700" i="1"/>
  <c r="D697" i="1"/>
  <c r="E697" i="1"/>
  <c r="F697" i="1"/>
  <c r="G697" i="1"/>
  <c r="H697" i="1"/>
  <c r="I697" i="1"/>
  <c r="C697" i="1"/>
  <c r="D687" i="1"/>
  <c r="E687" i="1"/>
  <c r="G687" i="1"/>
  <c r="H687" i="1"/>
  <c r="I687" i="1"/>
  <c r="C687" i="1"/>
  <c r="F690" i="1"/>
  <c r="F688" i="1"/>
  <c r="D684" i="1"/>
  <c r="E684" i="1"/>
  <c r="F684" i="1"/>
  <c r="G684" i="1"/>
  <c r="H684" i="1"/>
  <c r="I684" i="1"/>
  <c r="C684" i="1"/>
  <c r="I681" i="1"/>
  <c r="H681" i="1"/>
  <c r="G681" i="1"/>
  <c r="F681" i="1"/>
  <c r="E681" i="1"/>
  <c r="D681" i="1"/>
  <c r="C681" i="1"/>
  <c r="D677" i="1"/>
  <c r="E677" i="1"/>
  <c r="F677" i="1"/>
  <c r="G677" i="1"/>
  <c r="H677" i="1"/>
  <c r="I677" i="1"/>
  <c r="C677" i="1"/>
  <c r="D673" i="1"/>
  <c r="E673" i="1"/>
  <c r="F673" i="1"/>
  <c r="G673" i="1"/>
  <c r="H673" i="1"/>
  <c r="I673" i="1"/>
  <c r="C673" i="1"/>
  <c r="C666" i="1"/>
  <c r="C658" i="1"/>
  <c r="I666" i="1"/>
  <c r="H666" i="1"/>
  <c r="G666" i="1"/>
  <c r="F666" i="1"/>
  <c r="E666" i="1"/>
  <c r="D666" i="1"/>
  <c r="D658" i="1"/>
  <c r="E658" i="1"/>
  <c r="F658" i="1"/>
  <c r="G658" i="1"/>
  <c r="H658" i="1"/>
  <c r="I658" i="1"/>
  <c r="C649" i="1"/>
  <c r="I649" i="1"/>
  <c r="H649" i="1"/>
  <c r="G649" i="1"/>
  <c r="F649" i="1"/>
  <c r="E649" i="1"/>
  <c r="D649" i="1"/>
  <c r="C644" i="1"/>
  <c r="I644" i="1"/>
  <c r="H644" i="1"/>
  <c r="G644" i="1"/>
  <c r="F644" i="1"/>
  <c r="E644" i="1"/>
  <c r="D644" i="1"/>
  <c r="D640" i="1"/>
  <c r="E640" i="1"/>
  <c r="F640" i="1"/>
  <c r="G640" i="1"/>
  <c r="H640" i="1"/>
  <c r="I640" i="1"/>
  <c r="C640" i="1"/>
  <c r="D636" i="1"/>
  <c r="E636" i="1"/>
  <c r="F636" i="1"/>
  <c r="G636" i="1"/>
  <c r="H636" i="1"/>
  <c r="I636" i="1"/>
  <c r="C636" i="1"/>
  <c r="D633" i="1"/>
  <c r="I632" i="1"/>
  <c r="H632" i="1"/>
  <c r="G632" i="1"/>
  <c r="F632" i="1"/>
  <c r="E632" i="1"/>
  <c r="D632" i="1"/>
  <c r="C620" i="1"/>
  <c r="F623" i="1"/>
  <c r="F620" i="1" s="1"/>
  <c r="D623" i="1"/>
  <c r="I620" i="1"/>
  <c r="H620" i="1"/>
  <c r="G620" i="1"/>
  <c r="E620" i="1"/>
  <c r="D620" i="1"/>
  <c r="C614" i="1"/>
  <c r="D616" i="1"/>
  <c r="I614" i="1"/>
  <c r="H614" i="1"/>
  <c r="G614" i="1"/>
  <c r="F614" i="1"/>
  <c r="E614" i="1"/>
  <c r="D614" i="1"/>
  <c r="C611" i="1"/>
  <c r="I611" i="1"/>
  <c r="H611" i="1"/>
  <c r="G611" i="1"/>
  <c r="F611" i="1"/>
  <c r="E611" i="1"/>
  <c r="D611" i="1"/>
  <c r="H593" i="1"/>
  <c r="I593" i="1"/>
  <c r="D598" i="1"/>
  <c r="F597" i="1"/>
  <c r="D597" i="1"/>
  <c r="D596" i="1"/>
  <c r="F595" i="1"/>
  <c r="D595" i="1"/>
  <c r="F594" i="1"/>
  <c r="D594" i="1"/>
  <c r="E588" i="1"/>
  <c r="G588" i="1"/>
  <c r="H588" i="1"/>
  <c r="I588" i="1"/>
  <c r="C588" i="1"/>
  <c r="F590" i="1"/>
  <c r="D590" i="1"/>
  <c r="D589" i="1"/>
  <c r="E584" i="1"/>
  <c r="F584" i="1"/>
  <c r="G584" i="1"/>
  <c r="H584" i="1"/>
  <c r="I584" i="1"/>
  <c r="C584" i="1"/>
  <c r="D585" i="1"/>
  <c r="D584" i="1" s="1"/>
  <c r="E579" i="1"/>
  <c r="G579" i="1"/>
  <c r="H579" i="1"/>
  <c r="I579" i="1"/>
  <c r="C579" i="1"/>
  <c r="C571" i="1"/>
  <c r="F580" i="1"/>
  <c r="F579" i="1" s="1"/>
  <c r="D580" i="1"/>
  <c r="D579" i="1" s="1"/>
  <c r="E571" i="1"/>
  <c r="G571" i="1"/>
  <c r="H571" i="1"/>
  <c r="I571" i="1"/>
  <c r="F572" i="1"/>
  <c r="D572" i="1"/>
  <c r="D571" i="1" s="1"/>
  <c r="E567" i="1"/>
  <c r="G567" i="1"/>
  <c r="H567" i="1"/>
  <c r="I567" i="1"/>
  <c r="C567" i="1"/>
  <c r="F568" i="1"/>
  <c r="F567" i="1" s="1"/>
  <c r="D568" i="1"/>
  <c r="D567" i="1" s="1"/>
  <c r="E561" i="1"/>
  <c r="G561" i="1"/>
  <c r="H561" i="1"/>
  <c r="I561" i="1"/>
  <c r="C561" i="1"/>
  <c r="F563" i="1"/>
  <c r="F561" i="1" s="1"/>
  <c r="D563" i="1"/>
  <c r="D561" i="1" s="1"/>
  <c r="C554" i="1"/>
  <c r="C558" i="1"/>
  <c r="F559" i="1"/>
  <c r="F558" i="1" s="1"/>
  <c r="D559" i="1"/>
  <c r="D558" i="1" s="1"/>
  <c r="I558" i="1"/>
  <c r="H558" i="1"/>
  <c r="G558" i="1"/>
  <c r="E558" i="1"/>
  <c r="D588" i="1" l="1"/>
  <c r="F687" i="1"/>
  <c r="F571" i="1"/>
  <c r="F588" i="1"/>
  <c r="E554" i="1"/>
  <c r="G554" i="1"/>
  <c r="H554" i="1"/>
  <c r="I554" i="1"/>
  <c r="F556" i="1"/>
  <c r="D556" i="1"/>
  <c r="F555" i="1"/>
  <c r="D555" i="1"/>
  <c r="E547" i="1"/>
  <c r="G547" i="1"/>
  <c r="H547" i="1"/>
  <c r="I547" i="1"/>
  <c r="C547" i="1"/>
  <c r="D551" i="1"/>
  <c r="D550" i="1"/>
  <c r="D549" i="1"/>
  <c r="F548" i="1"/>
  <c r="F547" i="1" s="1"/>
  <c r="D548" i="1"/>
  <c r="F539" i="1"/>
  <c r="F538" i="1" s="1"/>
  <c r="D539" i="1"/>
  <c r="D538" i="1" s="1"/>
  <c r="E535" i="1"/>
  <c r="G535" i="1"/>
  <c r="H535" i="1"/>
  <c r="I535" i="1"/>
  <c r="C535" i="1"/>
  <c r="F536" i="1"/>
  <c r="F535" i="1" s="1"/>
  <c r="D536" i="1"/>
  <c r="D535" i="1" s="1"/>
  <c r="F531" i="1"/>
  <c r="F529" i="1" s="1"/>
  <c r="D531" i="1"/>
  <c r="D529" i="1" s="1"/>
  <c r="C495" i="1"/>
  <c r="D495" i="1"/>
  <c r="E495" i="1"/>
  <c r="F495" i="1"/>
  <c r="G495" i="1"/>
  <c r="H495" i="1"/>
  <c r="I495" i="1"/>
  <c r="D472" i="1"/>
  <c r="E472" i="1"/>
  <c r="F472" i="1"/>
  <c r="G472" i="1"/>
  <c r="H472" i="1"/>
  <c r="I472" i="1"/>
  <c r="C472" i="1"/>
  <c r="E468" i="1"/>
  <c r="G468" i="1"/>
  <c r="H468" i="1"/>
  <c r="I468" i="1"/>
  <c r="C468" i="1"/>
  <c r="F470" i="1"/>
  <c r="F468" i="1" s="1"/>
  <c r="D369" i="1"/>
  <c r="E369" i="1"/>
  <c r="F369" i="1"/>
  <c r="G369" i="1"/>
  <c r="H369" i="1"/>
  <c r="I369" i="1"/>
  <c r="C369" i="1"/>
  <c r="E359" i="1"/>
  <c r="F359" i="1"/>
  <c r="G359" i="1"/>
  <c r="H359" i="1"/>
  <c r="I359" i="1"/>
  <c r="C359" i="1"/>
  <c r="D363" i="1"/>
  <c r="D359" i="1" s="1"/>
  <c r="C267" i="1"/>
  <c r="C266" i="1" s="1"/>
  <c r="C264" i="1"/>
  <c r="C263" i="1" s="1"/>
  <c r="I267" i="1"/>
  <c r="I266" i="1" s="1"/>
  <c r="H267" i="1"/>
  <c r="H266" i="1" s="1"/>
  <c r="G267" i="1"/>
  <c r="G266" i="1" s="1"/>
  <c r="F267" i="1"/>
  <c r="F266" i="1" s="1"/>
  <c r="E267" i="1"/>
  <c r="E266" i="1" s="1"/>
  <c r="D267" i="1"/>
  <c r="D266" i="1" s="1"/>
  <c r="E222" i="1"/>
  <c r="G222" i="1"/>
  <c r="H222" i="1"/>
  <c r="I222" i="1"/>
  <c r="C222" i="1"/>
  <c r="F226" i="1"/>
  <c r="D226" i="1"/>
  <c r="D224" i="1"/>
  <c r="D223" i="1"/>
  <c r="D196" i="1"/>
  <c r="E196" i="1"/>
  <c r="G196" i="1"/>
  <c r="H196" i="1"/>
  <c r="I196" i="1"/>
  <c r="C196" i="1"/>
  <c r="F196" i="1"/>
  <c r="C186" i="1"/>
  <c r="C185" i="1" s="1"/>
  <c r="I186" i="1"/>
  <c r="I185" i="1" s="1"/>
  <c r="H186" i="1"/>
  <c r="H185" i="1" s="1"/>
  <c r="G186" i="1"/>
  <c r="G185" i="1" s="1"/>
  <c r="F186" i="1"/>
  <c r="F185" i="1" s="1"/>
  <c r="E186" i="1"/>
  <c r="E185" i="1" s="1"/>
  <c r="D186" i="1"/>
  <c r="D185" i="1" s="1"/>
  <c r="D547" i="1" l="1"/>
  <c r="D554" i="1"/>
  <c r="D222" i="1"/>
  <c r="F554" i="1"/>
  <c r="F222" i="1"/>
  <c r="D169" i="1" l="1"/>
  <c r="E169" i="1"/>
  <c r="F169" i="1"/>
  <c r="G169" i="1"/>
  <c r="H169" i="1"/>
  <c r="I169" i="1"/>
  <c r="C169" i="1"/>
  <c r="D459" i="1"/>
  <c r="D458" i="1" s="1"/>
  <c r="D457" i="1" s="1"/>
  <c r="E459" i="1"/>
  <c r="E458" i="1" s="1"/>
  <c r="E457" i="1" s="1"/>
  <c r="F459" i="1"/>
  <c r="F458" i="1" s="1"/>
  <c r="F457" i="1" s="1"/>
  <c r="H459" i="1"/>
  <c r="H458" i="1" s="1"/>
  <c r="H457" i="1" s="1"/>
  <c r="I459" i="1"/>
  <c r="I458" i="1" s="1"/>
  <c r="I457" i="1" s="1"/>
  <c r="C459" i="1"/>
  <c r="C458" i="1" s="1"/>
  <c r="C457" i="1" s="1"/>
  <c r="C453" i="1"/>
  <c r="G460" i="1"/>
  <c r="G459" i="1" s="1"/>
  <c r="G458" i="1" s="1"/>
  <c r="G457" i="1" s="1"/>
  <c r="D393" i="1"/>
  <c r="F393" i="1"/>
  <c r="G393" i="1"/>
  <c r="H393" i="1"/>
  <c r="I393" i="1"/>
  <c r="C393" i="1"/>
  <c r="E393" i="1"/>
  <c r="C303" i="1"/>
  <c r="I174" i="1"/>
  <c r="I173" i="1" s="1"/>
  <c r="I172" i="1" s="1"/>
  <c r="H174" i="1"/>
  <c r="H173" i="1" s="1"/>
  <c r="H172" i="1" s="1"/>
  <c r="G174" i="1"/>
  <c r="G173" i="1" s="1"/>
  <c r="G172" i="1" s="1"/>
  <c r="F174" i="1"/>
  <c r="F173" i="1" s="1"/>
  <c r="F172" i="1" s="1"/>
  <c r="E174" i="1"/>
  <c r="E173" i="1" s="1"/>
  <c r="E172" i="1" s="1"/>
  <c r="D174" i="1"/>
  <c r="D173" i="1" s="1"/>
  <c r="D172" i="1" s="1"/>
  <c r="C174" i="1"/>
  <c r="C173" i="1" s="1"/>
  <c r="C172" i="1" s="1"/>
  <c r="D314" i="1" l="1"/>
  <c r="D313" i="1" s="1"/>
  <c r="E314" i="1"/>
  <c r="E313" i="1" s="1"/>
  <c r="F314" i="1"/>
  <c r="F313" i="1" s="1"/>
  <c r="G314" i="1"/>
  <c r="G313" i="1" s="1"/>
  <c r="H314" i="1"/>
  <c r="H313" i="1" s="1"/>
  <c r="I314" i="1"/>
  <c r="I313" i="1" s="1"/>
  <c r="C314" i="1"/>
  <c r="C313" i="1" s="1"/>
  <c r="D453" i="1" l="1"/>
  <c r="D452" i="1" s="1"/>
  <c r="D451" i="1" s="1"/>
  <c r="E453" i="1"/>
  <c r="E452" i="1" s="1"/>
  <c r="E451" i="1" s="1"/>
  <c r="F453" i="1"/>
  <c r="F452" i="1" s="1"/>
  <c r="F451" i="1" s="1"/>
  <c r="G453" i="1"/>
  <c r="G452" i="1" s="1"/>
  <c r="G451" i="1" s="1"/>
  <c r="H453" i="1"/>
  <c r="H452" i="1" s="1"/>
  <c r="H451" i="1" s="1"/>
  <c r="I453" i="1"/>
  <c r="I452" i="1" s="1"/>
  <c r="I451" i="1" s="1"/>
  <c r="C452" i="1"/>
  <c r="C451" i="1" s="1"/>
  <c r="C463" i="1"/>
  <c r="C462" i="1" s="1"/>
  <c r="D463" i="1"/>
  <c r="D462" i="1" s="1"/>
  <c r="E463" i="1"/>
  <c r="E462" i="1" s="1"/>
  <c r="F463" i="1"/>
  <c r="F462" i="1" s="1"/>
  <c r="G463" i="1"/>
  <c r="G462" i="1" s="1"/>
  <c r="H463" i="1"/>
  <c r="H462" i="1" s="1"/>
  <c r="I463" i="1"/>
  <c r="I462" i="1" s="1"/>
  <c r="C467" i="1"/>
  <c r="D467" i="1"/>
  <c r="E467" i="1"/>
  <c r="F467" i="1"/>
  <c r="G467" i="1"/>
  <c r="H467" i="1"/>
  <c r="I467" i="1"/>
  <c r="C471" i="1"/>
  <c r="D471" i="1"/>
  <c r="E471" i="1"/>
  <c r="F471" i="1"/>
  <c r="G471" i="1"/>
  <c r="H471" i="1"/>
  <c r="I471" i="1"/>
  <c r="C482" i="1"/>
  <c r="C481" i="1" s="1"/>
  <c r="D482" i="1"/>
  <c r="D481" i="1" s="1"/>
  <c r="E482" i="1"/>
  <c r="E481" i="1" s="1"/>
  <c r="F482" i="1"/>
  <c r="F481" i="1" s="1"/>
  <c r="G482" i="1"/>
  <c r="G481" i="1" s="1"/>
  <c r="H482" i="1"/>
  <c r="H481" i="1" s="1"/>
  <c r="I482" i="1"/>
  <c r="I481" i="1" s="1"/>
  <c r="C487" i="1"/>
  <c r="C486" i="1" s="1"/>
  <c r="D487" i="1"/>
  <c r="D486" i="1" s="1"/>
  <c r="E487" i="1"/>
  <c r="E486" i="1" s="1"/>
  <c r="F487" i="1"/>
  <c r="F486" i="1" s="1"/>
  <c r="G487" i="1"/>
  <c r="G486" i="1" s="1"/>
  <c r="H487" i="1"/>
  <c r="H486" i="1" s="1"/>
  <c r="I487" i="1"/>
  <c r="I486" i="1" s="1"/>
  <c r="C494" i="1"/>
  <c r="D494" i="1"/>
  <c r="E494" i="1"/>
  <c r="F494" i="1"/>
  <c r="G494" i="1"/>
  <c r="H494" i="1"/>
  <c r="I494" i="1"/>
  <c r="C505" i="1"/>
  <c r="C504" i="1" s="1"/>
  <c r="D505" i="1"/>
  <c r="D504" i="1" s="1"/>
  <c r="E505" i="1"/>
  <c r="E504" i="1" s="1"/>
  <c r="F505" i="1"/>
  <c r="F504" i="1" s="1"/>
  <c r="G505" i="1"/>
  <c r="G504" i="1" s="1"/>
  <c r="H505" i="1"/>
  <c r="H504" i="1" s="1"/>
  <c r="I505" i="1"/>
  <c r="I504" i="1" s="1"/>
  <c r="C508" i="1"/>
  <c r="D508" i="1"/>
  <c r="E508" i="1"/>
  <c r="F508" i="1"/>
  <c r="G508" i="1"/>
  <c r="H508" i="1"/>
  <c r="I508" i="1"/>
  <c r="C511" i="1"/>
  <c r="D511" i="1"/>
  <c r="E511" i="1"/>
  <c r="F511" i="1"/>
  <c r="G511" i="1"/>
  <c r="H511" i="1"/>
  <c r="I511" i="1"/>
  <c r="C514" i="1"/>
  <c r="C513" i="1" s="1"/>
  <c r="D514" i="1"/>
  <c r="D513" i="1" s="1"/>
  <c r="E514" i="1"/>
  <c r="E513" i="1" s="1"/>
  <c r="F514" i="1"/>
  <c r="F513" i="1" s="1"/>
  <c r="G514" i="1"/>
  <c r="G513" i="1" s="1"/>
  <c r="H514" i="1"/>
  <c r="H513" i="1" s="1"/>
  <c r="I514" i="1"/>
  <c r="I513" i="1" s="1"/>
  <c r="C520" i="1"/>
  <c r="D520" i="1"/>
  <c r="E520" i="1"/>
  <c r="F520" i="1"/>
  <c r="G520" i="1"/>
  <c r="H520" i="1"/>
  <c r="I520" i="1"/>
  <c r="C523" i="1"/>
  <c r="D523" i="1"/>
  <c r="E523" i="1"/>
  <c r="F523" i="1"/>
  <c r="G523" i="1"/>
  <c r="H523" i="1"/>
  <c r="I523" i="1"/>
  <c r="C526" i="1"/>
  <c r="C525" i="1" s="1"/>
  <c r="D526" i="1"/>
  <c r="D525" i="1" s="1"/>
  <c r="E526" i="1"/>
  <c r="E525" i="1" s="1"/>
  <c r="F526" i="1"/>
  <c r="F525" i="1" s="1"/>
  <c r="G526" i="1"/>
  <c r="G525" i="1" s="1"/>
  <c r="H526" i="1"/>
  <c r="H525" i="1" s="1"/>
  <c r="I526" i="1"/>
  <c r="I525" i="1" s="1"/>
  <c r="D412" i="1"/>
  <c r="E412" i="1"/>
  <c r="F412" i="1"/>
  <c r="G412" i="1"/>
  <c r="H412" i="1"/>
  <c r="I412" i="1"/>
  <c r="F461" i="1" l="1"/>
  <c r="C519" i="1"/>
  <c r="C518" i="1" s="1"/>
  <c r="F519" i="1"/>
  <c r="F518" i="1" s="1"/>
  <c r="H519" i="1"/>
  <c r="H518" i="1" s="1"/>
  <c r="F507" i="1"/>
  <c r="F503" i="1" s="1"/>
  <c r="C507" i="1"/>
  <c r="C503" i="1" s="1"/>
  <c r="H507" i="1"/>
  <c r="H503" i="1" s="1"/>
  <c r="D507" i="1"/>
  <c r="D503" i="1" s="1"/>
  <c r="I519" i="1"/>
  <c r="I518" i="1" s="1"/>
  <c r="D519" i="1"/>
  <c r="D518" i="1" s="1"/>
  <c r="E519" i="1"/>
  <c r="E518" i="1" s="1"/>
  <c r="G519" i="1"/>
  <c r="G518" i="1" s="1"/>
  <c r="D485" i="1"/>
  <c r="G461" i="1"/>
  <c r="E461" i="1"/>
  <c r="I461" i="1"/>
  <c r="H461" i="1"/>
  <c r="D461" i="1"/>
  <c r="C461" i="1"/>
  <c r="G485" i="1"/>
  <c r="F485" i="1"/>
  <c r="C485" i="1"/>
  <c r="I507" i="1"/>
  <c r="I503" i="1" s="1"/>
  <c r="E507" i="1"/>
  <c r="E503" i="1" s="1"/>
  <c r="G507" i="1"/>
  <c r="G503" i="1" s="1"/>
  <c r="I485" i="1"/>
  <c r="E485" i="1"/>
  <c r="H485" i="1"/>
  <c r="D407" i="1" l="1"/>
  <c r="E407" i="1"/>
  <c r="F407" i="1"/>
  <c r="G407" i="1"/>
  <c r="I407" i="1"/>
  <c r="C407" i="1"/>
  <c r="H407" i="1"/>
  <c r="D344" i="1"/>
  <c r="E344" i="1"/>
  <c r="F344" i="1"/>
  <c r="G344" i="1"/>
  <c r="H344" i="1"/>
  <c r="I344" i="1"/>
  <c r="C344" i="1"/>
  <c r="D337" i="1"/>
  <c r="E337" i="1"/>
  <c r="F337" i="1"/>
  <c r="G337" i="1"/>
  <c r="H337" i="1"/>
  <c r="I337" i="1"/>
  <c r="C337" i="1"/>
  <c r="D327" i="1"/>
  <c r="E327" i="1"/>
  <c r="F327" i="1"/>
  <c r="G327" i="1"/>
  <c r="H327" i="1"/>
  <c r="I327" i="1"/>
  <c r="C327" i="1"/>
  <c r="D258" i="1"/>
  <c r="E258" i="1"/>
  <c r="F258" i="1"/>
  <c r="G258" i="1"/>
  <c r="H258" i="1"/>
  <c r="I258" i="1"/>
  <c r="C258" i="1"/>
  <c r="E261" i="1"/>
  <c r="F261" i="1"/>
  <c r="G261" i="1"/>
  <c r="G257" i="1" s="1"/>
  <c r="H261" i="1"/>
  <c r="I261" i="1"/>
  <c r="C261" i="1"/>
  <c r="D261" i="1"/>
  <c r="F257" i="1" l="1"/>
  <c r="I257" i="1"/>
  <c r="E257" i="1"/>
  <c r="C257" i="1"/>
  <c r="H257" i="1"/>
  <c r="D257" i="1"/>
  <c r="F11" i="1"/>
  <c r="F10" i="1" s="1"/>
  <c r="G11" i="1"/>
  <c r="G10" i="1" s="1"/>
  <c r="F13" i="1"/>
  <c r="G13" i="1"/>
  <c r="F44" i="1"/>
  <c r="G44" i="1"/>
  <c r="F77" i="1"/>
  <c r="F76" i="1" s="1"/>
  <c r="G77" i="1"/>
  <c r="G76" i="1" s="1"/>
  <c r="F80" i="1"/>
  <c r="F79" i="1" s="1"/>
  <c r="G80" i="1"/>
  <c r="G79" i="1" s="1"/>
  <c r="F82" i="1"/>
  <c r="G82" i="1"/>
  <c r="F88" i="1"/>
  <c r="G88" i="1"/>
  <c r="F96" i="1"/>
  <c r="G96" i="1"/>
  <c r="F98" i="1"/>
  <c r="G98" i="1"/>
  <c r="F102" i="1"/>
  <c r="G102" i="1"/>
  <c r="F136" i="1"/>
  <c r="G136" i="1"/>
  <c r="F138" i="1"/>
  <c r="G138" i="1"/>
  <c r="F142" i="1"/>
  <c r="G142" i="1"/>
  <c r="F144" i="1"/>
  <c r="G144" i="1"/>
  <c r="F153" i="1"/>
  <c r="F152" i="1" s="1"/>
  <c r="F151" i="1" s="1"/>
  <c r="G153" i="1"/>
  <c r="G152" i="1" s="1"/>
  <c r="G151" i="1" s="1"/>
  <c r="F157" i="1"/>
  <c r="G157" i="1"/>
  <c r="F159" i="1"/>
  <c r="G159" i="1"/>
  <c r="F163" i="1"/>
  <c r="G163" i="1"/>
  <c r="F166" i="1"/>
  <c r="F165" i="1" s="1"/>
  <c r="G166" i="1"/>
  <c r="G165" i="1" s="1"/>
  <c r="F168" i="1"/>
  <c r="G168" i="1"/>
  <c r="F178" i="1"/>
  <c r="F177" i="1" s="1"/>
  <c r="G178" i="1"/>
  <c r="G177" i="1" s="1"/>
  <c r="F189" i="1"/>
  <c r="G189" i="1"/>
  <c r="F191" i="1"/>
  <c r="G191" i="1"/>
  <c r="F193" i="1"/>
  <c r="G193" i="1"/>
  <c r="F195" i="1"/>
  <c r="G195" i="1"/>
  <c r="F204" i="1"/>
  <c r="G204" i="1"/>
  <c r="F206" i="1"/>
  <c r="G206" i="1"/>
  <c r="F208" i="1"/>
  <c r="G208" i="1"/>
  <c r="F211" i="1"/>
  <c r="G211" i="1"/>
  <c r="F219" i="1"/>
  <c r="F218" i="1" s="1"/>
  <c r="G219" i="1"/>
  <c r="G218" i="1" s="1"/>
  <c r="F221" i="1"/>
  <c r="G221" i="1"/>
  <c r="F228" i="1"/>
  <c r="F227" i="1" s="1"/>
  <c r="G228" i="1"/>
  <c r="G227" i="1" s="1"/>
  <c r="F231" i="1"/>
  <c r="G231" i="1"/>
  <c r="F264" i="1"/>
  <c r="F263" i="1" s="1"/>
  <c r="G264" i="1"/>
  <c r="G263" i="1" s="1"/>
  <c r="F271" i="1"/>
  <c r="F270" i="1" s="1"/>
  <c r="G271" i="1"/>
  <c r="G270" i="1" s="1"/>
  <c r="F276" i="1"/>
  <c r="F275" i="1" s="1"/>
  <c r="G276" i="1"/>
  <c r="G275" i="1" s="1"/>
  <c r="F280" i="1"/>
  <c r="G280" i="1"/>
  <c r="F292" i="1"/>
  <c r="F291" i="1" s="1"/>
  <c r="G292" i="1"/>
  <c r="G291" i="1" s="1"/>
  <c r="F298" i="1"/>
  <c r="F297" i="1" s="1"/>
  <c r="G297" i="1"/>
  <c r="F303" i="1"/>
  <c r="F302" i="1" s="1"/>
  <c r="G303" i="1"/>
  <c r="G302" i="1" s="1"/>
  <c r="F309" i="1"/>
  <c r="F308" i="1" s="1"/>
  <c r="G309" i="1"/>
  <c r="G308" i="1" s="1"/>
  <c r="F322" i="1"/>
  <c r="F319" i="1" s="1"/>
  <c r="G322" i="1"/>
  <c r="G319" i="1" s="1"/>
  <c r="F326" i="1"/>
  <c r="G326" i="1"/>
  <c r="F336" i="1"/>
  <c r="G336" i="1"/>
  <c r="G343" i="1"/>
  <c r="G342" i="1" s="1"/>
  <c r="F343" i="1"/>
  <c r="F342" i="1" s="1"/>
  <c r="F349" i="1"/>
  <c r="G349" i="1"/>
  <c r="F351" i="1"/>
  <c r="G351" i="1"/>
  <c r="F355" i="1"/>
  <c r="F354" i="1" s="1"/>
  <c r="G355" i="1"/>
  <c r="G354" i="1" s="1"/>
  <c r="F358" i="1"/>
  <c r="G358" i="1"/>
  <c r="F368" i="1"/>
  <c r="G368" i="1"/>
  <c r="F376" i="1"/>
  <c r="G376" i="1"/>
  <c r="F385" i="1"/>
  <c r="F384" i="1" s="1"/>
  <c r="G385" i="1"/>
  <c r="G384" i="1" s="1"/>
  <c r="F389" i="1"/>
  <c r="F388" i="1" s="1"/>
  <c r="G389" i="1"/>
  <c r="G388" i="1" s="1"/>
  <c r="F392" i="1"/>
  <c r="G392" i="1"/>
  <c r="F406" i="1"/>
  <c r="G406" i="1"/>
  <c r="F411" i="1"/>
  <c r="G411" i="1"/>
  <c r="F423" i="1"/>
  <c r="F422" i="1" s="1"/>
  <c r="G423" i="1"/>
  <c r="G422" i="1" s="1"/>
  <c r="F426" i="1"/>
  <c r="F425" i="1" s="1"/>
  <c r="G426" i="1"/>
  <c r="G425" i="1" s="1"/>
  <c r="F428" i="1"/>
  <c r="G428" i="1"/>
  <c r="F429" i="1"/>
  <c r="G429" i="1"/>
  <c r="F432" i="1"/>
  <c r="F431" i="1" s="1"/>
  <c r="G432" i="1"/>
  <c r="G431" i="1" s="1"/>
  <c r="F435" i="1"/>
  <c r="F434" i="1" s="1"/>
  <c r="G435" i="1"/>
  <c r="G434" i="1" s="1"/>
  <c r="F438" i="1"/>
  <c r="G438" i="1"/>
  <c r="F444" i="1"/>
  <c r="G444" i="1"/>
  <c r="F448" i="1"/>
  <c r="G448" i="1"/>
  <c r="F694" i="1"/>
  <c r="F528" i="1" s="1"/>
  <c r="G694" i="1"/>
  <c r="G528" i="1" s="1"/>
  <c r="G9" i="1" l="1"/>
  <c r="G269" i="1"/>
  <c r="G230" i="1"/>
  <c r="F203" i="1"/>
  <c r="F443" i="1"/>
  <c r="F410" i="1" s="1"/>
  <c r="F230" i="1"/>
  <c r="F141" i="1"/>
  <c r="G95" i="1"/>
  <c r="G43" i="1" s="1"/>
  <c r="F188" i="1"/>
  <c r="G279" i="1"/>
  <c r="G141" i="1"/>
  <c r="F279" i="1"/>
  <c r="F348" i="1"/>
  <c r="F347" i="1" s="1"/>
  <c r="F95" i="1"/>
  <c r="F43" i="1" s="1"/>
  <c r="F135" i="1"/>
  <c r="G443" i="1"/>
  <c r="G410" i="1" s="1"/>
  <c r="G203" i="1"/>
  <c r="G188" i="1"/>
  <c r="F156" i="1"/>
  <c r="F155" i="1" s="1"/>
  <c r="G135" i="1"/>
  <c r="F9" i="1"/>
  <c r="G348" i="1"/>
  <c r="G156" i="1"/>
  <c r="G155" i="1" s="1"/>
  <c r="F296" i="1"/>
  <c r="G357" i="1"/>
  <c r="G347" i="1"/>
  <c r="F269" i="1"/>
  <c r="F357" i="1"/>
  <c r="G375" i="1"/>
  <c r="F318" i="1"/>
  <c r="G217" i="1"/>
  <c r="F217" i="1"/>
  <c r="G296" i="1"/>
  <c r="F375" i="1"/>
  <c r="G318" i="1"/>
  <c r="G101" i="1" l="1"/>
  <c r="F184" i="1"/>
  <c r="F101" i="1"/>
  <c r="G184" i="1"/>
  <c r="C448" i="1"/>
  <c r="D448" i="1"/>
  <c r="E448" i="1"/>
  <c r="H448" i="1"/>
  <c r="I448" i="1"/>
  <c r="G715" i="1" l="1"/>
  <c r="F715" i="1"/>
  <c r="D392" i="1"/>
  <c r="I376" i="1"/>
  <c r="D159" i="1" l="1"/>
  <c r="E159" i="1"/>
  <c r="H159" i="1"/>
  <c r="I159" i="1"/>
  <c r="C159" i="1"/>
  <c r="I432" i="1" l="1"/>
  <c r="I431" i="1" s="1"/>
  <c r="H432" i="1"/>
  <c r="H431" i="1" s="1"/>
  <c r="E432" i="1"/>
  <c r="E431" i="1" s="1"/>
  <c r="D432" i="1"/>
  <c r="D431" i="1" s="1"/>
  <c r="C432" i="1"/>
  <c r="C431" i="1" s="1"/>
  <c r="C298" i="1" l="1"/>
  <c r="D298" i="1"/>
  <c r="E298" i="1"/>
  <c r="H298" i="1"/>
  <c r="I298" i="1"/>
  <c r="D426" i="1" l="1"/>
  <c r="E426" i="1"/>
  <c r="H426" i="1"/>
  <c r="I426" i="1"/>
  <c r="C426" i="1"/>
  <c r="D423" i="1"/>
  <c r="E423" i="1"/>
  <c r="H423" i="1"/>
  <c r="I423" i="1"/>
  <c r="C423" i="1"/>
  <c r="D406" i="1"/>
  <c r="E406" i="1"/>
  <c r="H406" i="1"/>
  <c r="I406" i="1"/>
  <c r="E376" i="1"/>
  <c r="D351" i="1"/>
  <c r="E351" i="1"/>
  <c r="H351" i="1"/>
  <c r="I351" i="1"/>
  <c r="C351" i="1"/>
  <c r="D343" i="1"/>
  <c r="D342" i="1" s="1"/>
  <c r="E343" i="1"/>
  <c r="E342" i="1" s="1"/>
  <c r="H343" i="1"/>
  <c r="H342" i="1" s="1"/>
  <c r="I343" i="1"/>
  <c r="I342" i="1" s="1"/>
  <c r="E219" i="1"/>
  <c r="H219" i="1"/>
  <c r="I219" i="1"/>
  <c r="D219" i="1"/>
  <c r="D166" i="1"/>
  <c r="E166" i="1"/>
  <c r="H166" i="1"/>
  <c r="I166" i="1"/>
  <c r="C166" i="1"/>
  <c r="D142" i="1"/>
  <c r="E142" i="1"/>
  <c r="H142" i="1"/>
  <c r="I142" i="1"/>
  <c r="C142" i="1"/>
  <c r="D77" i="1"/>
  <c r="E77" i="1"/>
  <c r="H77" i="1"/>
  <c r="I77" i="1"/>
  <c r="C77" i="1"/>
  <c r="D11" i="1"/>
  <c r="E11" i="1"/>
  <c r="H11" i="1"/>
  <c r="I11" i="1"/>
  <c r="C11" i="1"/>
  <c r="D428" i="1"/>
  <c r="E428" i="1"/>
  <c r="H428" i="1"/>
  <c r="I428" i="1"/>
  <c r="C428" i="1"/>
  <c r="D429" i="1"/>
  <c r="E429" i="1"/>
  <c r="H429" i="1"/>
  <c r="I429" i="1"/>
  <c r="C429" i="1"/>
  <c r="D322" i="1"/>
  <c r="E322" i="1"/>
  <c r="H322" i="1"/>
  <c r="I322" i="1"/>
  <c r="C322" i="1"/>
  <c r="D276" i="1"/>
  <c r="E276" i="1"/>
  <c r="H276" i="1"/>
  <c r="I276" i="1"/>
  <c r="C276" i="1"/>
  <c r="D389" i="1" l="1"/>
  <c r="D388" i="1" s="1"/>
  <c r="E389" i="1"/>
  <c r="E388" i="1" s="1"/>
  <c r="H389" i="1"/>
  <c r="H388" i="1" s="1"/>
  <c r="I389" i="1"/>
  <c r="I388" i="1" s="1"/>
  <c r="C389" i="1"/>
  <c r="C388" i="1" s="1"/>
  <c r="D422" i="1" l="1"/>
  <c r="E422" i="1"/>
  <c r="H422" i="1"/>
  <c r="I422" i="1"/>
  <c r="D292" i="1" l="1"/>
  <c r="D291" i="1" s="1"/>
  <c r="E292" i="1"/>
  <c r="E291" i="1" s="1"/>
  <c r="H292" i="1"/>
  <c r="H291" i="1" s="1"/>
  <c r="I292" i="1"/>
  <c r="I291" i="1" s="1"/>
  <c r="D280" i="1"/>
  <c r="E280" i="1"/>
  <c r="H280" i="1"/>
  <c r="I280" i="1"/>
  <c r="D206" i="1"/>
  <c r="E206" i="1"/>
  <c r="H206" i="1"/>
  <c r="I206" i="1"/>
  <c r="C206" i="1"/>
  <c r="D189" i="1"/>
  <c r="E189" i="1"/>
  <c r="H189" i="1"/>
  <c r="I189" i="1"/>
  <c r="E178" i="1"/>
  <c r="E177" i="1" s="1"/>
  <c r="H178" i="1"/>
  <c r="H177" i="1" s="1"/>
  <c r="I178" i="1"/>
  <c r="I177" i="1" s="1"/>
  <c r="D144" i="1"/>
  <c r="E144" i="1"/>
  <c r="H144" i="1"/>
  <c r="I144" i="1"/>
  <c r="D136" i="1"/>
  <c r="E136" i="1"/>
  <c r="H136" i="1"/>
  <c r="I136" i="1"/>
  <c r="D98" i="1"/>
  <c r="E98" i="1"/>
  <c r="H98" i="1"/>
  <c r="I98" i="1"/>
  <c r="C98" i="1"/>
  <c r="D96" i="1"/>
  <c r="E96" i="1"/>
  <c r="H96" i="1"/>
  <c r="I96" i="1"/>
  <c r="D88" i="1"/>
  <c r="E88" i="1"/>
  <c r="H88" i="1"/>
  <c r="I88" i="1"/>
  <c r="D82" i="1"/>
  <c r="E82" i="1"/>
  <c r="H82" i="1"/>
  <c r="I82" i="1"/>
  <c r="E44" i="1"/>
  <c r="E13" i="1"/>
  <c r="D178" i="1"/>
  <c r="D177" i="1" s="1"/>
  <c r="D44" i="1"/>
  <c r="I44" i="1"/>
  <c r="C44" i="1"/>
  <c r="H44" i="1" l="1"/>
  <c r="D141" i="1"/>
  <c r="I95" i="1"/>
  <c r="H141" i="1"/>
  <c r="H95" i="1"/>
  <c r="E141" i="1"/>
  <c r="I141" i="1"/>
  <c r="E95" i="1"/>
  <c r="D95" i="1"/>
  <c r="E279" i="1"/>
  <c r="H279" i="1"/>
  <c r="I279" i="1"/>
  <c r="D279" i="1"/>
  <c r="I13" i="1"/>
  <c r="H13" i="1"/>
  <c r="D13" i="1"/>
  <c r="D309" i="1"/>
  <c r="D308" i="1" s="1"/>
  <c r="E309" i="1"/>
  <c r="E308" i="1" s="1"/>
  <c r="H309" i="1"/>
  <c r="H308" i="1" s="1"/>
  <c r="I309" i="1"/>
  <c r="I308" i="1" s="1"/>
  <c r="C309" i="1"/>
  <c r="D303" i="1"/>
  <c r="D302" i="1" s="1"/>
  <c r="E303" i="1"/>
  <c r="E302" i="1" s="1"/>
  <c r="H303" i="1"/>
  <c r="H302" i="1" s="1"/>
  <c r="I303" i="1"/>
  <c r="I302" i="1" s="1"/>
  <c r="D163" i="1"/>
  <c r="E163" i="1"/>
  <c r="H163" i="1"/>
  <c r="I163" i="1"/>
  <c r="D157" i="1"/>
  <c r="E157" i="1"/>
  <c r="H157" i="1"/>
  <c r="I157" i="1"/>
  <c r="E153" i="1"/>
  <c r="E152" i="1" s="1"/>
  <c r="H153" i="1"/>
  <c r="H152" i="1" s="1"/>
  <c r="I153" i="1"/>
  <c r="I152" i="1" s="1"/>
  <c r="I392" i="1"/>
  <c r="H392" i="1"/>
  <c r="E392" i="1"/>
  <c r="D153" i="1"/>
  <c r="D152" i="1" s="1"/>
  <c r="I156" i="1" l="1"/>
  <c r="H156" i="1"/>
  <c r="E151" i="1"/>
  <c r="D151" i="1"/>
  <c r="I151" i="1"/>
  <c r="H151" i="1"/>
  <c r="D349" i="1"/>
  <c r="D348" i="1" s="1"/>
  <c r="E349" i="1"/>
  <c r="E348" i="1" s="1"/>
  <c r="H349" i="1"/>
  <c r="H348" i="1" s="1"/>
  <c r="I349" i="1"/>
  <c r="I348" i="1" s="1"/>
  <c r="D694" i="1"/>
  <c r="D528" i="1" s="1"/>
  <c r="E694" i="1"/>
  <c r="E528" i="1" s="1"/>
  <c r="H694" i="1"/>
  <c r="H528" i="1" s="1"/>
  <c r="I694" i="1"/>
  <c r="I528" i="1" s="1"/>
  <c r="D368" i="1"/>
  <c r="E368" i="1"/>
  <c r="H368" i="1"/>
  <c r="I368" i="1"/>
  <c r="D358" i="1"/>
  <c r="E358" i="1"/>
  <c r="H358" i="1"/>
  <c r="I358" i="1"/>
  <c r="D355" i="1"/>
  <c r="D354" i="1" s="1"/>
  <c r="E355" i="1"/>
  <c r="E354" i="1" s="1"/>
  <c r="H355" i="1"/>
  <c r="H354" i="1" s="1"/>
  <c r="I355" i="1"/>
  <c r="I354" i="1" s="1"/>
  <c r="D228" i="1"/>
  <c r="D227" i="1" s="1"/>
  <c r="E228" i="1"/>
  <c r="E227" i="1" s="1"/>
  <c r="H228" i="1"/>
  <c r="H227" i="1" s="1"/>
  <c r="I228" i="1"/>
  <c r="I227" i="1" s="1"/>
  <c r="D221" i="1"/>
  <c r="E221" i="1"/>
  <c r="H221" i="1"/>
  <c r="I221" i="1"/>
  <c r="D218" i="1"/>
  <c r="E218" i="1"/>
  <c r="H218" i="1"/>
  <c r="I218" i="1"/>
  <c r="D211" i="1"/>
  <c r="E211" i="1"/>
  <c r="H211" i="1"/>
  <c r="I211" i="1"/>
  <c r="C211" i="1"/>
  <c r="D208" i="1"/>
  <c r="E208" i="1"/>
  <c r="H208" i="1"/>
  <c r="I208" i="1"/>
  <c r="C208" i="1"/>
  <c r="D204" i="1"/>
  <c r="E204" i="1"/>
  <c r="H204" i="1"/>
  <c r="I204" i="1"/>
  <c r="D195" i="1"/>
  <c r="E195" i="1"/>
  <c r="H195" i="1"/>
  <c r="I195" i="1"/>
  <c r="D193" i="1"/>
  <c r="E193" i="1"/>
  <c r="H193" i="1"/>
  <c r="I193" i="1"/>
  <c r="C193" i="1"/>
  <c r="D191" i="1"/>
  <c r="E191" i="1"/>
  <c r="H191" i="1"/>
  <c r="I191" i="1"/>
  <c r="C191" i="1"/>
  <c r="D102" i="1"/>
  <c r="E102" i="1"/>
  <c r="H102" i="1"/>
  <c r="I102" i="1"/>
  <c r="E357" i="1" l="1"/>
  <c r="I347" i="1"/>
  <c r="H347" i="1"/>
  <c r="E347" i="1"/>
  <c r="D347" i="1"/>
  <c r="I217" i="1"/>
  <c r="D217" i="1"/>
  <c r="E217" i="1"/>
  <c r="D203" i="1"/>
  <c r="H217" i="1"/>
  <c r="E203" i="1"/>
  <c r="H203" i="1"/>
  <c r="I203" i="1"/>
  <c r="I188" i="1"/>
  <c r="H188" i="1"/>
  <c r="E188" i="1"/>
  <c r="D188" i="1"/>
  <c r="H357" i="1"/>
  <c r="D357" i="1"/>
  <c r="I357" i="1"/>
  <c r="E184" i="1" l="1"/>
  <c r="D184" i="1"/>
  <c r="H184" i="1"/>
  <c r="I184" i="1"/>
  <c r="D385" i="1"/>
  <c r="D384" i="1" s="1"/>
  <c r="E385" i="1"/>
  <c r="E384" i="1" s="1"/>
  <c r="E375" i="1" s="1"/>
  <c r="H385" i="1"/>
  <c r="H384" i="1" s="1"/>
  <c r="I385" i="1"/>
  <c r="I384" i="1" s="1"/>
  <c r="I375" i="1" s="1"/>
  <c r="D376" i="1"/>
  <c r="H376" i="1"/>
  <c r="D336" i="1"/>
  <c r="E336" i="1"/>
  <c r="H336" i="1"/>
  <c r="I336" i="1"/>
  <c r="D326" i="1"/>
  <c r="E326" i="1"/>
  <c r="H326" i="1"/>
  <c r="I326" i="1"/>
  <c r="H319" i="1"/>
  <c r="I319" i="1"/>
  <c r="D319" i="1"/>
  <c r="E319" i="1"/>
  <c r="H375" i="1" l="1"/>
  <c r="D375" i="1"/>
  <c r="D318" i="1"/>
  <c r="H318" i="1"/>
  <c r="E318" i="1"/>
  <c r="I318" i="1"/>
  <c r="D231" i="1" l="1"/>
  <c r="E231" i="1"/>
  <c r="H231" i="1"/>
  <c r="I231" i="1"/>
  <c r="D165" i="1"/>
  <c r="E165" i="1"/>
  <c r="H165" i="1"/>
  <c r="I165" i="1"/>
  <c r="D297" i="1"/>
  <c r="E297" i="1"/>
  <c r="H264" i="1"/>
  <c r="H263" i="1" s="1"/>
  <c r="I264" i="1"/>
  <c r="I263" i="1" s="1"/>
  <c r="D264" i="1"/>
  <c r="D263" i="1" s="1"/>
  <c r="D230" i="1" s="1"/>
  <c r="E264" i="1"/>
  <c r="E263" i="1" s="1"/>
  <c r="D168" i="1"/>
  <c r="E168" i="1"/>
  <c r="H168" i="1"/>
  <c r="I168" i="1"/>
  <c r="D156" i="1"/>
  <c r="E156" i="1"/>
  <c r="D138" i="1"/>
  <c r="D135" i="1" s="1"/>
  <c r="D101" i="1" s="1"/>
  <c r="E138" i="1"/>
  <c r="E135" i="1" s="1"/>
  <c r="E101" i="1" s="1"/>
  <c r="H138" i="1"/>
  <c r="H135" i="1" s="1"/>
  <c r="H101" i="1" s="1"/>
  <c r="I138" i="1"/>
  <c r="I135" i="1" s="1"/>
  <c r="I101" i="1" s="1"/>
  <c r="C138" i="1"/>
  <c r="H10" i="1"/>
  <c r="H9" i="1" s="1"/>
  <c r="I10" i="1"/>
  <c r="I9" i="1" s="1"/>
  <c r="H76" i="1"/>
  <c r="I76" i="1"/>
  <c r="D76" i="1"/>
  <c r="E76" i="1"/>
  <c r="D80" i="1"/>
  <c r="D79" i="1" s="1"/>
  <c r="E80" i="1"/>
  <c r="E79" i="1" s="1"/>
  <c r="H80" i="1"/>
  <c r="H79" i="1" s="1"/>
  <c r="I80" i="1"/>
  <c r="I79" i="1" s="1"/>
  <c r="C80" i="1"/>
  <c r="C79" i="1" s="1"/>
  <c r="D10" i="1"/>
  <c r="D9" i="1" s="1"/>
  <c r="E10" i="1"/>
  <c r="E9" i="1" s="1"/>
  <c r="E230" i="1" l="1"/>
  <c r="I230" i="1"/>
  <c r="H230" i="1"/>
  <c r="I43" i="1"/>
  <c r="D43" i="1"/>
  <c r="H43" i="1"/>
  <c r="E43" i="1"/>
  <c r="E296" i="1"/>
  <c r="D296" i="1"/>
  <c r="H297" i="1"/>
  <c r="H296" i="1" s="1"/>
  <c r="I297" i="1"/>
  <c r="I296" i="1" s="1"/>
  <c r="H155" i="1"/>
  <c r="I155" i="1"/>
  <c r="D155" i="1"/>
  <c r="E155" i="1"/>
  <c r="D444" i="1" l="1"/>
  <c r="D443" i="1" s="1"/>
  <c r="E444" i="1"/>
  <c r="E443" i="1" s="1"/>
  <c r="H444" i="1"/>
  <c r="H443" i="1" s="1"/>
  <c r="I444" i="1"/>
  <c r="I443" i="1" s="1"/>
  <c r="C444" i="1"/>
  <c r="C443" i="1" s="1"/>
  <c r="D438" i="1"/>
  <c r="E438" i="1"/>
  <c r="H438" i="1"/>
  <c r="D435" i="1"/>
  <c r="D434" i="1" s="1"/>
  <c r="E435" i="1"/>
  <c r="E434" i="1" s="1"/>
  <c r="H435" i="1"/>
  <c r="H434" i="1" s="1"/>
  <c r="I435" i="1"/>
  <c r="I434" i="1" s="1"/>
  <c r="D425" i="1"/>
  <c r="E425" i="1"/>
  <c r="H425" i="1"/>
  <c r="I425" i="1"/>
  <c r="C411" i="1"/>
  <c r="D411" i="1"/>
  <c r="E411" i="1"/>
  <c r="I411" i="1"/>
  <c r="H411" i="1"/>
  <c r="D275" i="1"/>
  <c r="E275" i="1"/>
  <c r="H275" i="1"/>
  <c r="I275" i="1"/>
  <c r="D271" i="1"/>
  <c r="D270" i="1" s="1"/>
  <c r="E271" i="1"/>
  <c r="E270" i="1" s="1"/>
  <c r="H271" i="1"/>
  <c r="H270" i="1" s="1"/>
  <c r="I271" i="1"/>
  <c r="I270" i="1" s="1"/>
  <c r="H410" i="1" l="1"/>
  <c r="D410" i="1"/>
  <c r="E410" i="1"/>
  <c r="I269" i="1"/>
  <c r="E269" i="1"/>
  <c r="D269" i="1"/>
  <c r="H269" i="1"/>
  <c r="I438" i="1"/>
  <c r="I410" i="1" s="1"/>
  <c r="E715" i="1" l="1"/>
  <c r="D715" i="1"/>
  <c r="I715" i="1"/>
  <c r="H715" i="1"/>
  <c r="C228" i="1" l="1"/>
  <c r="C227" i="1" l="1"/>
  <c r="C384" i="1" l="1"/>
  <c r="C88" i="1" l="1"/>
  <c r="C271" i="1" l="1"/>
  <c r="C406" i="1" l="1"/>
  <c r="C270" i="1" l="1"/>
  <c r="C292" i="1"/>
  <c r="C294" i="1"/>
  <c r="C297" i="1"/>
  <c r="C302" i="1"/>
  <c r="C320" i="1"/>
  <c r="C326" i="1"/>
  <c r="C336" i="1"/>
  <c r="C204" i="1"/>
  <c r="C203" i="1" s="1"/>
  <c r="C291" i="1" l="1"/>
  <c r="C343" i="1"/>
  <c r="C342" i="1" s="1"/>
  <c r="C275" i="1"/>
  <c r="C269" i="1" s="1"/>
  <c r="C308" i="1"/>
  <c r="C280" i="1"/>
  <c r="C368" i="1"/>
  <c r="C319" i="1"/>
  <c r="C296" i="1" l="1"/>
  <c r="C279" i="1"/>
  <c r="C318" i="1"/>
  <c r="C136" i="1" l="1"/>
  <c r="C135" i="1" s="1"/>
  <c r="C82" i="1" l="1"/>
  <c r="C422" i="1" l="1"/>
  <c r="C425" i="1"/>
  <c r="C694" i="1" l="1"/>
  <c r="C528" i="1" s="1"/>
  <c r="C153" i="1" l="1"/>
  <c r="C152" i="1" s="1"/>
  <c r="C144" i="1"/>
  <c r="C141" i="1" s="1"/>
  <c r="C163" i="1" l="1"/>
  <c r="C349" i="1" l="1"/>
  <c r="C348" i="1" s="1"/>
  <c r="C189" i="1" l="1"/>
  <c r="C188" i="1" s="1"/>
  <c r="C96" i="1"/>
  <c r="C95" i="1" s="1"/>
  <c r="C435" i="1" l="1"/>
  <c r="C434" i="1" l="1"/>
  <c r="C76" i="1" l="1"/>
  <c r="C43" i="1" s="1"/>
  <c r="C355" i="1" l="1"/>
  <c r="C195" i="1"/>
  <c r="C184" i="1" s="1"/>
  <c r="C354" i="1" l="1"/>
  <c r="C347" i="1" s="1"/>
  <c r="C376" i="1" l="1"/>
  <c r="C157" i="1" l="1"/>
  <c r="C156" i="1" s="1"/>
  <c r="C438" i="1" l="1"/>
  <c r="C410" i="1" s="1"/>
  <c r="C231" i="1" l="1"/>
  <c r="C230" i="1" s="1"/>
  <c r="C221" i="1"/>
  <c r="C219" i="1"/>
  <c r="C178" i="1"/>
  <c r="C177" i="1" s="1"/>
  <c r="C168" i="1"/>
  <c r="C151" i="1"/>
  <c r="C218" i="1" l="1"/>
  <c r="C217" i="1" s="1"/>
  <c r="C10" i="1"/>
  <c r="C165" i="1" l="1"/>
  <c r="C155" i="1" s="1"/>
  <c r="C13" i="1" l="1"/>
  <c r="C9" i="1" s="1"/>
  <c r="C102" i="1" l="1"/>
  <c r="C392" i="1"/>
  <c r="C358" i="1"/>
  <c r="C357" i="1" l="1"/>
  <c r="C375" i="1"/>
  <c r="C101" i="1"/>
  <c r="C715" i="1" l="1"/>
</calcChain>
</file>

<file path=xl/sharedStrings.xml><?xml version="1.0" encoding="utf-8"?>
<sst xmlns="http://schemas.openxmlformats.org/spreadsheetml/2006/main" count="1362" uniqueCount="802">
  <si>
    <t>№ ГП и ПП</t>
  </si>
  <si>
    <t xml:space="preserve"> Государственная программа "Развитие здравоохранения в Ярославской области"</t>
  </si>
  <si>
    <t>Областная целевая программа "Развитие материально-технической базы учреждений здравоохранения Ярославской области"</t>
  </si>
  <si>
    <t>902 Департамент культуры ЯО</t>
  </si>
  <si>
    <t>Остатки федеральных средств</t>
  </si>
  <si>
    <t>25.0</t>
  </si>
  <si>
    <t xml:space="preserve"> Государственная программа "Развитие сельского хозяйства в Ярославской области"</t>
  </si>
  <si>
    <t>25.1</t>
  </si>
  <si>
    <t>Областная целевая программа "Развитие агропромышленного комплекса Ярославской области"</t>
  </si>
  <si>
    <t>25.7</t>
  </si>
  <si>
    <t>Ведомственная целевая программа департамента ветеринарии Ярославской области</t>
  </si>
  <si>
    <t>25.8</t>
  </si>
  <si>
    <t>Областная целевая программа "Устойчивое развитие сельских территорий Ярославской области"</t>
  </si>
  <si>
    <t>Государственная программа "Развитие культуры и туризма в Ярославской области"</t>
  </si>
  <si>
    <t>Областная целевая программа "Развитие туризма и отдыха в Ярославской области"</t>
  </si>
  <si>
    <t xml:space="preserve"> Государственная программа "Обеспечение качественными коммунальными услугами населения ЯО"</t>
  </si>
  <si>
    <t xml:space="preserve"> Государственная программа "Экономическое развитие и инновационная экономика в Ярославской области"</t>
  </si>
  <si>
    <t>Областная целевая программа "Стимулирование инвестиционной деятельности в Ярославской области"</t>
  </si>
  <si>
    <t>15 3</t>
  </si>
  <si>
    <t>Ведомственная целевая программа департамента инвестиционной политики Ярославской области</t>
  </si>
  <si>
    <t>36.0</t>
  </si>
  <si>
    <t>Государственная программа "Создание условий для эффективного управления региональными и муниципальными финансами в Ярославской области"</t>
  </si>
  <si>
    <t>04.0</t>
  </si>
  <si>
    <t>Государственная программа "Доступная среда в Ярославской области"</t>
  </si>
  <si>
    <t>04.1</t>
  </si>
  <si>
    <t>07.0</t>
  </si>
  <si>
    <t>Государственная программа "Содействие занятости населения Ярославской области"</t>
  </si>
  <si>
    <t>07.1</t>
  </si>
  <si>
    <t>Ведомственная целевая программа "Содействие занятости населения Ярославской области"</t>
  </si>
  <si>
    <t>934 Департамент государственной службы занятости населения ЯО</t>
  </si>
  <si>
    <t>Государственная программа "Обеспечение общественного порядка и противодействие преступности на территории Ярославской области"</t>
  </si>
  <si>
    <t>948 Департамент региональной безопасности ЯО</t>
  </si>
  <si>
    <t>Государственная программа "Защита населения и территории Ярославской области от чрезвычайных ситуаций, обеспечение пожарной безопасности  и безопасности людей на водных объектах"</t>
  </si>
  <si>
    <t>10.4</t>
  </si>
  <si>
    <t>908 Департамент жилищно-коммунального комплекса ЯО</t>
  </si>
  <si>
    <t>904 Департамент информатизации и связи ЯО</t>
  </si>
  <si>
    <t>920 Правительство ЯО</t>
  </si>
  <si>
    <t>Государственная программа "Информационное общество в Ярославской области"</t>
  </si>
  <si>
    <t xml:space="preserve">Областная целевая программа "Гармонизация межнациональных отношений в Ярославской области" </t>
  </si>
  <si>
    <t xml:space="preserve">Ведомственная целевая программа департамента информатизации и связи ЯО </t>
  </si>
  <si>
    <t xml:space="preserve">Ведомственная целевая программа департамента финансов Ярославской области    </t>
  </si>
  <si>
    <t>906 Департамент финансов ЯО</t>
  </si>
  <si>
    <t>36 7</t>
  </si>
  <si>
    <t>Мероприятия по управлению государственным  имуществом Ярославской области</t>
  </si>
  <si>
    <t>911 Департамент имущественных и земельных отношений ЯО</t>
  </si>
  <si>
    <t>Непрограммные расходы</t>
  </si>
  <si>
    <t>901 Департамент здравоохранения  и фармации ЯО</t>
  </si>
  <si>
    <t>Итого</t>
  </si>
  <si>
    <t>Ведомственная целевая программа департамента здравоохранения и фармации Ярославской области</t>
  </si>
  <si>
    <t>Государственная программа "Развитие образования и молодежная политика в Ярославской области"</t>
  </si>
  <si>
    <t>Ведомственная целевая программа департамента образования Ярославской области</t>
  </si>
  <si>
    <t>903 Департамент образования ЯО</t>
  </si>
  <si>
    <t>02 5</t>
  </si>
  <si>
    <t>Ведомственная целевая программа "Реализация государственной молодежной политики"</t>
  </si>
  <si>
    <t>ОЦП "Патриотическое воспитание и допризывная подготовка граждан РФ, проживающих на территории ЯО"</t>
  </si>
  <si>
    <t>Государственная программа "Социальная поддержка населения Ярославской области"</t>
  </si>
  <si>
    <t>Ведомственная целевая программа "Социальная поддержка населения Ярославской области"</t>
  </si>
  <si>
    <t>909 Департамент труда и социальной поддержки населения ЯО</t>
  </si>
  <si>
    <t>03.2</t>
  </si>
  <si>
    <t xml:space="preserve"> Региональная программа "Социальная  поддержка пожилых граждан в  Ярославской области"</t>
  </si>
  <si>
    <t>Областная целевая программа "Семья и дети Ярославии"</t>
  </si>
  <si>
    <t>Ведомственная целевая программа департамента культуры Ярославской области</t>
  </si>
  <si>
    <t>Государственная программа "Развитие физической культуры и спорта в Ярославской области"</t>
  </si>
  <si>
    <t>Ведомственная целевая программа "Физическая культура и спорт в Ярославской области"</t>
  </si>
  <si>
    <t>Областная целевая программа "Развитие материально-технической базы физической культуры и спорта Ярославской области"</t>
  </si>
  <si>
    <t>22 4</t>
  </si>
  <si>
    <t>Областная целевая программа "Развитие информационного общества Ярославской области"</t>
  </si>
  <si>
    <t>924 Департамент  строительства ЯО</t>
  </si>
  <si>
    <t>02.2</t>
  </si>
  <si>
    <t>Областная целевая программа "Обеспечение доступности дошкольного образования в Ярославской области"</t>
  </si>
  <si>
    <t>Государственная программа "Обеспечение доступным и комфортным жильем населения Ярославской области"</t>
  </si>
  <si>
    <t>Региональная адресная программа по переселению граждан из аварийного жилищного фонда Ярославской области</t>
  </si>
  <si>
    <t>Государственная программа "Охрана окружающей среды в Ярославской области"</t>
  </si>
  <si>
    <t>Региональная программа "Развитие водохозяйственного комплекса Ярославской области в 2013-2020 годах"</t>
  </si>
  <si>
    <t>05 1</t>
  </si>
  <si>
    <t>Региональная программа «Стимулирование развития жилищного строительства на территории Ярославской области»</t>
  </si>
  <si>
    <t>Ведомственная целевая программа департамента жилищно-коммунального комплекса Ярославской области</t>
  </si>
  <si>
    <t>Государственная программа "Развитие дорожного хозяйства и транспорта в Ярославской области"</t>
  </si>
  <si>
    <t>02 6</t>
  </si>
  <si>
    <t>08 3</t>
  </si>
  <si>
    <t>Областная целевая программа "Комплексные меры противодействия злоупотреблению наркотиками и их незаконному обороту"</t>
  </si>
  <si>
    <t>946 Департамент общественных связей ЯО</t>
  </si>
  <si>
    <t>Государственная программа "Развитие промышленности в Ярославской области и повышение ее конкурентноспособности"</t>
  </si>
  <si>
    <t>Областная целевая программа "Развитие промышленности Ярославской области и повышение ее конкурентоспособности"</t>
  </si>
  <si>
    <t>Государственная программа "Развитие институтов гражданского общества в Ярославской области"</t>
  </si>
  <si>
    <t>23.0</t>
  </si>
  <si>
    <t>16.0</t>
  </si>
  <si>
    <t>Государственная программа "Государственные и муниципальные услуги Ярославской области"</t>
  </si>
  <si>
    <t>Областная целевая программа "Повышение качества, доступности и развитие механизмов предоставления государственных и муниципальных услуг в Ярославской области"</t>
  </si>
  <si>
    <t>37.0</t>
  </si>
  <si>
    <t>37.1</t>
  </si>
  <si>
    <t>Государственная программа "Развитие системы государственного управления на территории Ярославской области"</t>
  </si>
  <si>
    <t>38.0</t>
  </si>
  <si>
    <t>Областная целевая программа "Противодействие коррупции в Ярославской области"</t>
  </si>
  <si>
    <t>38.2</t>
  </si>
  <si>
    <t>Государственная программа "Местное самоуправление в Ярославской области"</t>
  </si>
  <si>
    <t>Областная целевая программа "Реформирование принципов организации деятельности органов местного самоуправления Ярославской области"</t>
  </si>
  <si>
    <t>39.0</t>
  </si>
  <si>
    <t>39.1</t>
  </si>
  <si>
    <t>24 4</t>
  </si>
  <si>
    <t>Областная целевая программа "Развитие транспортной системы Ярославской области"</t>
  </si>
  <si>
    <t>Ведомственная целевая программа "Управление охраной окружающей среды и рациональным природопользованием в Ярославской области"</t>
  </si>
  <si>
    <t>25.2</t>
  </si>
  <si>
    <t>Региональная программа "Поддержка начинающих фермеров Ярославской области"</t>
  </si>
  <si>
    <t>25.3</t>
  </si>
  <si>
    <t>Региональная программа "Развитие семейных животноводческих ферм на база крестьянских (фермерских) хозяйств"</t>
  </si>
  <si>
    <t>25.5</t>
  </si>
  <si>
    <t>Ведомственная целевая программа "Сохранность региональных автомобильных дорог Ярославской области"</t>
  </si>
  <si>
    <t>Ведомственная целевая программа "Обеспечение функционирования государственного казенного учреждения Ярославской области "Безопасный регион"</t>
  </si>
  <si>
    <t>10.3</t>
  </si>
  <si>
    <t>Областная целевая программа "Создание системы обеспечения вызова экстренных оперативных служб через единый номер "112" на базе единых дежурно-диспетчерских служб муниципальных образований в Ярославской области"</t>
  </si>
  <si>
    <t>22.7</t>
  </si>
  <si>
    <t>Реализация принципов открытого государственного управления</t>
  </si>
  <si>
    <t>37.2</t>
  </si>
  <si>
    <t>Ведомственная целевая программа "Обеспечение функционирования многофункциональных центров предоставления государственных и муниципальных услуг"</t>
  </si>
  <si>
    <t>38.3</t>
  </si>
  <si>
    <t>Организация оказания бесплатной юридической помощи</t>
  </si>
  <si>
    <t>14 5</t>
  </si>
  <si>
    <t>25.6</t>
  </si>
  <si>
    <t>927 Департамент транспорта ЯО</t>
  </si>
  <si>
    <t>951 Департамент ветеринарии ЯО</t>
  </si>
  <si>
    <t>905 Департамент агропромышленного комплекса и потребительского рынка ЯО</t>
  </si>
  <si>
    <t>931 Департамент государственного  жилищного надзора ЯО</t>
  </si>
  <si>
    <t>933 Департамент государственного заказа ЯО</t>
  </si>
  <si>
    <t>937 Инспекция государственного строительного надзора ЯО</t>
  </si>
  <si>
    <t>938 Департамент охраны окружающей среды и природопользования ЯО</t>
  </si>
  <si>
    <t>Ведомственная целевая программа "Транспортное обслуживание населения Ярославской области"</t>
  </si>
  <si>
    <t>957 Департамент охраны объектов культурного наследия ЯО</t>
  </si>
  <si>
    <t>24 2</t>
  </si>
  <si>
    <t>Областная целевая программа "Развитие сети автомобильных дорог в Ярославской области"</t>
  </si>
  <si>
    <t xml:space="preserve">Региональная программа "Доступная среда" </t>
  </si>
  <si>
    <t>Ведомственная целевая программа департамента строительства ЯО</t>
  </si>
  <si>
    <t>08 6</t>
  </si>
  <si>
    <t>Областная целевая программа "Профилактика правонарушений в Ярославской области"</t>
  </si>
  <si>
    <t>Ведомственная целевая программа "Реализация государственной политики в области гражданской защиты и пожарной безопасности"</t>
  </si>
  <si>
    <t>12.1</t>
  </si>
  <si>
    <t>Региональная программа "Развитие водоснабжения, водоотведения и очистки сточных вод Ярославской области"</t>
  </si>
  <si>
    <t>Региональная программа "Развитие комплексной системы обращения с твердыми коммунальными отходами на территории Ярославской области"</t>
  </si>
  <si>
    <t>Областная целевая программа "Развитие субъектов малого и среднего предпринимательства Ярославской области"</t>
  </si>
  <si>
    <t>36.3</t>
  </si>
  <si>
    <t>Выравнивание уровня бюджетной обеспеченности муниципальных образований Ярославской области и обеспечение сбалансированности местных бюджетов</t>
  </si>
  <si>
    <t>36.6</t>
  </si>
  <si>
    <t>Ведомственная целевая программа "Обеспечение государственных закупок Ярославской области"</t>
  </si>
  <si>
    <t>955 Аппарат Уполномоченного по защите прав предпринимателей в ЯО</t>
  </si>
  <si>
    <t>Региональная программа "Газификация и модернизация жилищно-коммунального хозяйства, промышленных и иных организаций ЯО"</t>
  </si>
  <si>
    <t xml:space="preserve">923 Департамент по физической культуре, спорту и молодежной политике Ярославской области
</t>
  </si>
  <si>
    <t>923 Департамент по физической культуре, спорту и молодежной политике</t>
  </si>
  <si>
    <t>16.4</t>
  </si>
  <si>
    <t>941 Департамент инвестиций и промышленности ЯО</t>
  </si>
  <si>
    <t>958 Аппарат Уполномоченного по правам человека в ЯО</t>
  </si>
  <si>
    <t>02.4</t>
  </si>
  <si>
    <t>Областная целевая программа "Повышение эффективности и качества профессионального образования ЯО"</t>
  </si>
  <si>
    <t xml:space="preserve">Увеличение областных средств </t>
  </si>
  <si>
    <t>Строительство и реконструкция объектов культурного назначения</t>
  </si>
  <si>
    <t>Наименование</t>
  </si>
  <si>
    <t>36 8</t>
  </si>
  <si>
    <t>Ведомственная целевая программа департамента имущественных и земельных отношений Ярославской области</t>
  </si>
  <si>
    <t>39.6</t>
  </si>
  <si>
    <t>Реализация мероприятий инициативного бюджетирования на территории Ярославской области</t>
  </si>
  <si>
    <t>911 Департамент имущественных и земельных отношений</t>
  </si>
  <si>
    <t>24 6</t>
  </si>
  <si>
    <t>Региональная программа "Комплексное развитие транспортной инфраструктуры городской агломерации "Ярославская"</t>
  </si>
  <si>
    <t>908 Департамент жилищно-коммунального хозяйства, энергетики и регулирования тарифов  ЯО</t>
  </si>
  <si>
    <t>950 Департамент туризма ЯО</t>
  </si>
  <si>
    <t>908 Департамент жилищно-коммунального хозяйства, энергетики и регулирования тарифов ЯО</t>
  </si>
  <si>
    <t>923 Департамент по физической культуре, спорту и молодежной политике ЯО</t>
  </si>
  <si>
    <t>959 Аппарат Уполномоченного по правам ребенка в ЯО</t>
  </si>
  <si>
    <t>10.6</t>
  </si>
  <si>
    <t>Областная целевая программа "Развитие региональной системы оповещения Ярославской области"</t>
  </si>
  <si>
    <t>Областная целевая программа "Обеспечение эпизоотического благополучия территории Ярославской области по африканской чуме свиней, бешенству и другим заразным и особо опасным болезням животных"</t>
  </si>
  <si>
    <t>Федеральные средства</t>
  </si>
  <si>
    <t>01.0</t>
  </si>
  <si>
    <t>01.1</t>
  </si>
  <si>
    <t>01.3</t>
  </si>
  <si>
    <t>02.0</t>
  </si>
  <si>
    <t>02.1</t>
  </si>
  <si>
    <t>03.0</t>
  </si>
  <si>
    <t>03.1</t>
  </si>
  <si>
    <t>03.3</t>
  </si>
  <si>
    <t>05.0</t>
  </si>
  <si>
    <t>05.2</t>
  </si>
  <si>
    <t>05.3</t>
  </si>
  <si>
    <t>08.4</t>
  </si>
  <si>
    <t>10.0</t>
  </si>
  <si>
    <t>11.0</t>
  </si>
  <si>
    <t>11.1</t>
  </si>
  <si>
    <t>11.3</t>
  </si>
  <si>
    <t>11.4</t>
  </si>
  <si>
    <t>12.0</t>
  </si>
  <si>
    <t>12.4</t>
  </si>
  <si>
    <t>13.0</t>
  </si>
  <si>
    <t>13.1</t>
  </si>
  <si>
    <t>13.2</t>
  </si>
  <si>
    <t>14.0</t>
  </si>
  <si>
    <t>14.2</t>
  </si>
  <si>
    <t>14.4</t>
  </si>
  <si>
    <t>14.6</t>
  </si>
  <si>
    <t>15.0</t>
  </si>
  <si>
    <t>15.1</t>
  </si>
  <si>
    <t>15.6</t>
  </si>
  <si>
    <t>22.0</t>
  </si>
  <si>
    <t>23.3</t>
  </si>
  <si>
    <t>23.5</t>
  </si>
  <si>
    <t>24.0</t>
  </si>
  <si>
    <t>24.1</t>
  </si>
  <si>
    <t>24.5</t>
  </si>
  <si>
    <t>36.1</t>
  </si>
  <si>
    <t>50.0</t>
  </si>
  <si>
    <t>Приложение 3</t>
  </si>
  <si>
    <t>к пояснительной записке</t>
  </si>
  <si>
    <t>руб.</t>
  </si>
  <si>
    <t>08.0</t>
  </si>
  <si>
    <t xml:space="preserve">Уменьшение областных средств </t>
  </si>
  <si>
    <t>Перераспределение ассигнований</t>
  </si>
  <si>
    <t xml:space="preserve">Информация по внесению изменений в Закон Ярославской области 
"Об областном бюджете на 2018 год и на плановый период 2019 и 2020 годов" 
</t>
  </si>
  <si>
    <t>02.3</t>
  </si>
  <si>
    <t>Строительство и реконструкция зданий образовательных организаций</t>
  </si>
  <si>
    <t>38.5</t>
  </si>
  <si>
    <t>Областная целевая программа " "Развитие государственной гражданской и муниципальной службы в Ярославской области"</t>
  </si>
  <si>
    <t>+</t>
  </si>
  <si>
    <t>-</t>
  </si>
  <si>
    <t>950  Департамент туризма ЯО</t>
  </si>
  <si>
    <t>36.4</t>
  </si>
  <si>
    <t>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t>
  </si>
  <si>
    <t>25.4</t>
  </si>
  <si>
    <t>949 Инспекция административно-технического  надзора  ЯО</t>
  </si>
  <si>
    <t>917 Избирательная комиссия  ЯО</t>
  </si>
  <si>
    <t>Региональная программа "Развитие льняного комплекса Ярославской области"</t>
  </si>
  <si>
    <t>Ведомственная целевая программа департамента агропромышленного комплекса и потребительского рынка Ярославской области</t>
  </si>
  <si>
    <t>Предложение ГРБС</t>
  </si>
  <si>
    <t>Предложение ДФ</t>
  </si>
  <si>
    <t>Пояснения к предложениям ДФ</t>
  </si>
  <si>
    <t>Закупка товаров, работ и услуг для обеспечения государственных (муниципальных) нужд</t>
  </si>
  <si>
    <t xml:space="preserve">Перераспределение  ассигнований между целевыми статьями расходов на проведение стратегического семинара по разработке маркетинговой и продуктовой стратегий развития культурно-познавательного туристского маршрута «Золотое кольцо» </t>
  </si>
  <si>
    <t xml:space="preserve">Межбюджетные трансферты  
</t>
  </si>
  <si>
    <t xml:space="preserve">Увеличение ассигнований на рекультивация земельного участка, нарушенного в ходе строительства туристско-рекреационного комплекса "Золотое кольцо" в Переславском МР.  Письмо от 20.08.2015г № 05-12-29/19430 Министерство природных ресурсов и экологии Российской Федерации  Земельный участок в собственности МР, локальная смета от мая 2016 года проверена Яргорстройэкспертиза                                                           </t>
  </si>
  <si>
    <t>Капитальные вложения в объекты государственной (муниципальной) собственности</t>
  </si>
  <si>
    <t xml:space="preserve">Перераспределение ассигнований в сумме 2 руб. с целью уточнения суммы софинансирования  с федеральным бюджетом </t>
  </si>
  <si>
    <t xml:space="preserve">Предоставление субсидий бюджетным, автономным учреждениям и иным некоммерческим организациям </t>
  </si>
  <si>
    <t xml:space="preserve">Уменьшение ассигнований в сумме 559,00 тыс. руб. на софинансирование с федеральным бюджетом в соответствии с соглашением. Перераспределение ассигнований в сумме 27 099,4 тыс. руб. между кодами целевых статей расходов для приведения их в соответствие с бюджетной классификацией  </t>
  </si>
  <si>
    <t>Перераспределение ассигнований в сумме 2,2 тыс. руб. между видами расходов по ГКУ ЯО Центр выставочно-конгрессной деятельности с целью уплаты налога на имущество</t>
  </si>
  <si>
    <t>Иные бюджетные ассигнования</t>
  </si>
  <si>
    <t>Уменьшение бюджетных ассигнований в связи  с отменой мероприятия - организация коллективного выставочного стенда и участия в международной промышленной выставке "Иннопром-2018"</t>
  </si>
  <si>
    <t>963 Департамент дорожного хозяйства ЯО</t>
  </si>
  <si>
    <t xml:space="preserve">Межбюджетные трансферты </t>
  </si>
  <si>
    <t>Перераспределение ассигнований с проектно-изыскательных работ на ВЦП "Сохранность региональных автомобильных дорог Ярославской области" на разработку рабочих проектов и проектно-сметной документации по капитальному ремонту, ремонту и содержанию автомобильных дорог в сумме 1 000,00 тыс. руб. и на содержание автомобильных дорог в сумме 9 500,00 руб.</t>
  </si>
  <si>
    <t xml:space="preserve">Иные закупки товаров, работ и услуг для обеспечения государственных (муниципальных) нужд </t>
  </si>
  <si>
    <r>
      <t>Перераспределение ассигнований в рамках прогораммы</t>
    </r>
    <r>
      <rPr>
        <b/>
        <sz val="10"/>
        <color theme="1"/>
        <rFont val="Times New Roman"/>
        <family val="1"/>
        <charset val="204"/>
      </rPr>
      <t xml:space="preserve"> </t>
    </r>
    <r>
      <rPr>
        <sz val="10"/>
        <color theme="1"/>
        <rFont val="Times New Roman"/>
        <family val="1"/>
        <charset val="204"/>
      </rPr>
      <t xml:space="preserve">с ремонта автомобильных дорог  на субсидию городу Ярославлю в рамках проекта БКД </t>
    </r>
  </si>
  <si>
    <t>Природоохранные мероприятия</t>
  </si>
  <si>
    <t xml:space="preserve">Уменьшение ассигнований в связи с экономией, полученной по результатам процедуры конкурентной закупки </t>
  </si>
  <si>
    <t>Перераспределение ассигнований между целевыми статьями и видами расходов в связи с необходимостью проведения внешней экспертизы результатов государственных контрактов</t>
  </si>
  <si>
    <t>Субсидия на оказание содействия достижению целевых показателей региональных программ развития агропромышленного комплекса</t>
  </si>
  <si>
    <t xml:space="preserve">Перераспределение ассигнований между целевыми статьями в связи с введением  новых направлений государственной поддержки, в целях полного освоения средств федерального бюджета:
- 57982,3 тыс.руб. - между направлениями государственной поддержки, входящих в "единую" субсидию ( 16814,8 тыс. руб. - средства областного бюджета, 41167,5 тыс.руб. - средства федерального бюджета);
- 15585,6 тыс.руб. - с РП "Развитие семейных животноводческих ферм на базе крестьянских (фермерских) хозяйств" (4519,9 тыс.руб. - средства областного бюджета, 11065,7 тыс.руб. - средства федерального бюджета) </t>
  </si>
  <si>
    <t>Субсидия на оказание несвязанной поддержки в области растениеводства</t>
  </si>
  <si>
    <t>Увеличение ассигнований на средства федерального бюджета на основании распоряжения Правительства РФ от 04.08.2018 № 1620-р</t>
  </si>
  <si>
    <t>Перераспределение ассигнований между целевыми статьями в целях обеспечения необходимого уровня софинансирования с федеральным бюджетом</t>
  </si>
  <si>
    <t>Субсидия на государственное задание подведомственному учреждению</t>
  </si>
  <si>
    <t>Перераспределение ассигнований между целевыми статьями на государственное задание ГОАУ ИКС ЯО для участия Ярославской области в выставке "Золотая осень"</t>
  </si>
  <si>
    <t>Субсидии на государственную поддержку сельскохозяйственного производства</t>
  </si>
  <si>
    <t>Перераспределение ассигнований с РП "Развитие семейных животноводческих ферм на базе крестьянских (фермерских) хозяйств" (731,8 тыс. руб. - средства областного бюджета, 1791,7 тыс.руб. - средства федерального бюджета) между целевыми статьями в целях полного освоения средств федерального бюджета</t>
  </si>
  <si>
    <t>Перераспределение ассигнований  (5251,7 тыс. руб. - средства областного бюджета, 12857,5тыс.руб. - средства федерального бюджета) между целевыми статьями в связи с введением  новых направлений государственной поддержки, в целях полного освоения средств федерального бюджета, из них на:
- 2523,6 тыс. руб. - РП "Поддержка начинающих фермеров";
- 15585,7 тыс. руб. - ОЦП "Развитие АПК ЯО"</t>
  </si>
  <si>
    <t>Субсидия на выполнение государственного задания подведомственным учреждениям</t>
  </si>
  <si>
    <t>Субвенция на организацию и содержание скотомогильников (биотермических ям)</t>
  </si>
  <si>
    <t>Субсидии на развитие газификации в сельской местности</t>
  </si>
  <si>
    <t>Уменьшение ассигнований:
- 1467,7 тыс. руб. - экономия, полученная в результате проведения конкурсных процедур;
- 4807,6 тыс. руб. - невосстребованная доля областного бюджета в связи с недополучением средств из федерального бюджета</t>
  </si>
  <si>
    <t>29.0</t>
  </si>
  <si>
    <t xml:space="preserve"> Государственная программа "Развитие лесного хозяйства Ярославской области"</t>
  </si>
  <si>
    <t>29.1</t>
  </si>
  <si>
    <t>Ведомственная целевая программа департамента лесного хозяйства Ярославской области</t>
  </si>
  <si>
    <t>936 Департамент лесного хозяйства ЯО</t>
  </si>
  <si>
    <t>Субвенция на реализацию отдельных полномочий в области лесных отношений</t>
  </si>
  <si>
    <t>Перераспределение ассигнований федеральной субвенции между целевыми статьями  и видами расходов в результате защиты проектных корректировок в Федеральном агентстве лесного хозяйства</t>
  </si>
  <si>
    <t>Мероприятия, направленные на поддержку подведомственных учреждений лесного хозяйства</t>
  </si>
  <si>
    <t>Перераспределение ассигнований  между целевыми статьями  и видами расходов в связи с необходимостью проведения ремонта имущества, принадлежащего лесничествам</t>
  </si>
  <si>
    <t xml:space="preserve">Субвенция гражданам на приобретение жилья, обеспечение жильем отдельных категорий граждан, установленных федеральным законом от 12 января 1995 года № 5-ФЗ "О ветеранах" </t>
  </si>
  <si>
    <t xml:space="preserve">Субвенция гражданам на приобретение жилья, обеспечение жильем отдельных категорий граждан, установленных федеральным законом от 24 ноября 1995 года N 181-ФЗ "О социальной защите инвалидов в РФ" </t>
  </si>
  <si>
    <t>Обеспечение деятельности ГКУ ЯО "Единая служба заказчика"</t>
  </si>
  <si>
    <t>Предоставление субсидий на реализацию мероприятий РП "Развитие водохозяйственного комплекса Ярославской области в 2013-2020 годах"</t>
  </si>
  <si>
    <t>Субсидия на реализацию мероприятий РП "Развитие водоснабжения и водоотведения Ярославской области"</t>
  </si>
  <si>
    <t>Перераспредление асссигнований в связи с уточнением кода расходного обязательства по МР</t>
  </si>
  <si>
    <t>Субсидия на реализацию мероприятий по строительству и реконструкции объектов теплоснабжения</t>
  </si>
  <si>
    <t>Субсидия на реализацию мероприятий по строительству объектов газификации</t>
  </si>
  <si>
    <t>Субсидия на реализацию мероприятий по строительству и реконструкции объектов теплоснабжения в рамках концессионных соглашений (новое расходное обязательство)</t>
  </si>
  <si>
    <t>Денежные взыскания (штрафы) за нарушение условий договоров (соглашений) о предоставлении субсидий бюджетам субъектов Российской Федерации из федерального бюджета</t>
  </si>
  <si>
    <t>Увеличение ассигнований путем снятия с программы электроснабжения в связи с оплатой штрафа в Фонд содействия реформирования жилищно-коммунального хозяйства (решение от 13.06.2018 № 847)</t>
  </si>
  <si>
    <t>Субвенция на оплату жилого помещения и коммунальных услуг отдельным категориям граждан, оказание мер социальной поддержки которым относится к полномочиям Ярославской области</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</si>
  <si>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</si>
  <si>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06.0</t>
  </si>
  <si>
    <t>Государственная программа "Формирование современной городской среды муниципальных образований на территории Ярославской области"</t>
  </si>
  <si>
    <t>06.2</t>
  </si>
  <si>
    <t>Благоустройство населенных пунктов Ярославской области</t>
  </si>
  <si>
    <t>Субсидия на благоустройство дворовых и общественных пространств в муниципальных образованиях Ярославской области, на территориях которых располагаются полигоны твердых бытовых отходов</t>
  </si>
  <si>
    <t>Перераспределение ассигнований в сумме 7 400 тыс. руб. с Ярославского МР на неуказанный территориальный признак</t>
  </si>
  <si>
    <t>Компенсация выпадающих доходов ресурсоснабжающих организаций</t>
  </si>
  <si>
    <t>Предупреждение и ликвидация последствий чрезвычайных ситуаций и стихийных бедствий природного и техногенного характера</t>
  </si>
  <si>
    <t>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t>
  </si>
  <si>
    <t xml:space="preserve">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t>
  </si>
  <si>
    <t>Субсидия транспортным организациям на возмещение недополученных доходов от предоставления социальных услуг льготным категориям граждан</t>
  </si>
  <si>
    <t xml:space="preserve">Субсидия организациям железнодорожного транспорта  на компенсацию потерь в доходах,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 и обучающимся </t>
  </si>
  <si>
    <t>Субвенция на освобождение от оплаты стоимости проезда детей из многодетных семей</t>
  </si>
  <si>
    <t>Увеличение ассигнований для обеспечения потребности в средствах областного бюджета на 6,4 тыс. руб.</t>
  </si>
  <si>
    <t>Субсидия на возмещение затрат транспортных предприятий, осуществляющих пассажирские перевозки по государственно регулируемым тарифам</t>
  </si>
  <si>
    <t>железнодорожный транспорт</t>
  </si>
  <si>
    <t>автомобильный транспорт</t>
  </si>
  <si>
    <t>Субсидия на финансовое обеспечение выполнения госзадания ГБУ ЯО "Яроблтранском"</t>
  </si>
  <si>
    <t>Мероприятия по обеспечению мобилизационной готовности экономики</t>
  </si>
  <si>
    <t>30.0</t>
  </si>
  <si>
    <t>Государственная программа "Энергоэффективность и развитие энергетики в Ярославской области"</t>
  </si>
  <si>
    <t>30.1</t>
  </si>
  <si>
    <t>Региональная программа "Энергосбережение и повышение энергоэффективности в Ярославской области"</t>
  </si>
  <si>
    <t>Разработка схемы и программы развития электроэнергетики Ярославской области</t>
  </si>
  <si>
    <t>Мероприятие "Строительство модульной котельной с оптимизацией тепловых сетей в п. Песочное сельского поселения Песочное" в рамках концессионного соглашения из ОЦП "Комплексная программа модернизации и реформирования жилищно-коммунального хозяйства Ярославской области на 2011-2016 годы" (Постановлением Правительства Ярославской области от 2 ноября 2010 г. № 820-п (раздел V задача 5. Привлечение частных операторов к управлению системами теплоснабжения на основе концессионных соглашений на 2016 год) в связи с отсутствием финансирования в 2016 году по причине непринятия объекта строительства со стороны Администрации МР (ввод в эксплуатацию в декабре 2016 г.). Согласно п.30 Концессионного соглашения от 02.09.2016 с концессионером ООО "Уют Сервис". Общая сумма 21 368, 180 тыс. руб.
увеличение на 20 692, 68 тыс. руб. путем увеличения областных средств в сумме 9 577, 28 тыс. руб., снятие ассигнований с программы энергосбережения - 11 115, 4 тыс. руб., 
перераспределение 675, 5 тыс. руб. с РП "Газификация и модернизация жилищно-коммунального хозяйства, промышленных и иных организаций ЯО" ,
09.08.2018 г. назначено совместное совещание, требуется проработка вопроса с ДФ и ОМСУ</t>
  </si>
  <si>
    <t>Субвенция на обеспечение деятельности органов местного самоуправления в сфере социальной защиты населения</t>
  </si>
  <si>
    <t>08 2</t>
  </si>
  <si>
    <t>Областная целевая программа "Повышение безопасности дорожного движения в Ярославской области"</t>
  </si>
  <si>
    <t>Расходы на оплату труда с начислениями  ГКУ ЯО "Безопасный регион"</t>
  </si>
  <si>
    <t>Закупка товаров, работ и услуг</t>
  </si>
  <si>
    <t>Увеличение ассигнований на содержание ГКУ "Безопасный регион" : услуги связи, интернет - 25тыс. руб. ; ремонт крыльца здания на ул. Республиканской, 32, ремонт и диагностика автомобиля - 100тыс. руб.; ЭЦП АС "Смета"  - 3 тыс. руб., повышение квалификации - 5 ,7 тыс. руб.; приобретение основных средств (офисная мебель, огнетушитель, компьютер, ИБП, флещнкапители) - 143,1 тыс. руб. материальные запасы (ГСМ, канцелярские товары, запчасти, хозяйственный материалы) - 60,0 тыс. руб.</t>
  </si>
  <si>
    <t>Иные бюджетные ассигновая</t>
  </si>
  <si>
    <t xml:space="preserve">Увеличение ассигнований на налог на имущество, оплату пени по исполнительному листу, штрафных санкций за нарушение условий контрактов (договоров) по поставке товаров, выполнению работ, оказанию услуг </t>
  </si>
  <si>
    <t>Мероприятия по обеспечению функционирования системы фиксации нарушений правил дорожного движения</t>
  </si>
  <si>
    <t>Увеличение ассигнований на подключение дежурных диспетчерских служб экстренных оперативных служб, включая предоставление программного обеспечения, подключения каналов связи</t>
  </si>
  <si>
    <t xml:space="preserve">Субсидия на выполнение государственного задания ГБУ ЯО "Пожарно-спасательная служба области" в части ФОТ с начислениями на оплату труда </t>
  </si>
  <si>
    <t>Субсидия на выполнение государственного задания ГБУ ЯО "Пожарно-спасательная служба области" в части закупок товаро, работ, услуг</t>
  </si>
  <si>
    <t>Обеспечение деятельности системы вызова экстренных оперативных служб по единому номеру "112"</t>
  </si>
  <si>
    <t>Субсидия на выполнение государственного задания ГБУ ЯО "Учебно методический центр по ГОиЧС"</t>
  </si>
  <si>
    <t>11.7</t>
  </si>
  <si>
    <t>Ведомственная целевая программа департамента охраны объектов культурного наследия Ярославской области</t>
  </si>
  <si>
    <t>Перераспределение ассигнований с ведомственной целевой программы на расходы по смете департамента</t>
  </si>
  <si>
    <t>Уменьшение ассигнований в связи с приведением в соответствие с установленными нормативами ФОТ и страховыми взносами во внебюджетные фонды</t>
  </si>
  <si>
    <t>Увеличение ассигнований на обеспечение деятельности государственного казенного учреждения "Центр конкурентной политики и мониторинга"(возмещение коммунальных услуг - 164,4 тыс.руб., содержание имущества - 163 тыс.руб., налог на имущество - 157 тыс.руб., командировочные расходы - 100 тыс.руб., приобретение рабочих мест - 350 тыс.руб., приобретение программных продуктов, аттестация рабочих мест - 484,1 тыс.руб.)</t>
  </si>
  <si>
    <t>Перераспределение ассигнований на непрограммные расходы для оплаты исполнительных листов</t>
  </si>
  <si>
    <t>Субсидия  Адвокатской палате ЯО</t>
  </si>
  <si>
    <t>Увеличение средств субсидии Адвокатской палате на оказание бесплатной юридической помощи</t>
  </si>
  <si>
    <t>Закупка товаров, работ, услуг</t>
  </si>
  <si>
    <t>Увеличение ассигнований на изготовление информационных материалов о мероприятиях системы бесплатной юридической помощи</t>
  </si>
  <si>
    <t>Перераспределение ассигнований на субсидию религиозным организация в связи с уменьшением потребности в средствах на предоставление субсидии Ассоциации "Совет муниципальных образований"</t>
  </si>
  <si>
    <t>Расходы на приведение в соответствие с установленными нормативами страховых взносов во внебюджетные фонды</t>
  </si>
  <si>
    <t xml:space="preserve">Перераспределение ассигнований для исполнения судебных решений </t>
  </si>
  <si>
    <t>Увеличение ассигнований нп выплаты компенсаций при сокращении государственных служащих</t>
  </si>
  <si>
    <t>Перераспределение ассигнований в связи с уточнением расходов по преданным полномочиям в сфере образования</t>
  </si>
  <si>
    <t>Увеличение ассигнований на командировочные расходы</t>
  </si>
  <si>
    <t>Увеличение ассигнований  на проведение аттестации системы защиты персональных данных регионального банка данных о детях, оставшихся без попечения родителей  102183 руб. (мероприятие утверждено планом информатизации ДО ЯО как дополнительная потребность на 2018 год), на приобретение серверного оборудования для нужд департамента  147 601 руб. (мероприятие утверждено планом информатизации ДО ЯО как дополнительная потребность на 2018 год)</t>
  </si>
  <si>
    <t>Увеличение ассигнований на оплату по гражданско-правовым договорам с экспертами на привлечение к проведению аккредитационной экспертизы (госуслуга, носит заявительный характер, количество обращений увеличилось, прогнозирование не возможно)</t>
  </si>
  <si>
    <r>
      <t xml:space="preserve">Увеличение ассигнований на ФОТ с начислениями в связи с изменением объема выполняемых полномочий. </t>
    </r>
    <r>
      <rPr>
        <b/>
        <sz val="10"/>
        <color theme="1"/>
        <rFont val="Times New Roman"/>
        <family val="1"/>
        <charset val="204"/>
      </rPr>
      <t>Аналогичные расходы предусмотреть в 2019-2020 годах</t>
    </r>
    <r>
      <rPr>
        <sz val="10"/>
        <color theme="1"/>
        <rFont val="Times New Roman"/>
        <family val="1"/>
        <charset val="204"/>
      </rPr>
      <t xml:space="preserve"> </t>
    </r>
  </si>
  <si>
    <t xml:space="preserve">Перераспределение ассигнований на оплату услуг почтовой связи и проведение ежегодного инструментального контроля </t>
  </si>
  <si>
    <t>Увеличение бюджетных ассигнований на возмещение расходов по оплате компенсации в связи с сокращением госслужащего</t>
  </si>
  <si>
    <t>Увеличение бюджетных ассигнований на возмещение расходов на оплату найма жилого помещения директору департамента</t>
  </si>
  <si>
    <t>Увеличение ассигнований на возмещение кредиторской задолженности 2017 года</t>
  </si>
  <si>
    <t xml:space="preserve">Увеличение ассигнований  в целях погашения  кредиторской задолженности, образовавшейся по состоянию на 01.01.2018  </t>
  </si>
  <si>
    <t>Уменьшение ассигнований по результатам конкурсных процедур</t>
  </si>
  <si>
    <t>Увеличение ассигнований на исполнение судебных решений</t>
  </si>
  <si>
    <t xml:space="preserve">Перераспределение ассигнований  с мероприятий по управлению государственным имуществом Ярославской области для исполнения судебных решений </t>
  </si>
  <si>
    <t>Увеличение бюджетных ассигнований на приобретение компьютерной техники для новых сотрудников в связи с передачей полномочий и взамен устаревшей</t>
  </si>
  <si>
    <t>Увеличение бюджетных ассигнований на проведение диспансеризации сотрудников, обучение сотрудников, приобретение расходных материалов</t>
  </si>
  <si>
    <t>Увеличение бюджетных ассигнований насоцвыплаты пенсионерам департамента</t>
  </si>
  <si>
    <t>915 Контрольно-счетная палата ЯО</t>
  </si>
  <si>
    <t>Перераспределение ассигнований между целевыми статьями расходов (ФОТ)</t>
  </si>
  <si>
    <t>Перераспределение ассигнований на оплату налога на имущества</t>
  </si>
  <si>
    <t>Перераспределение ассигнований между целевыми статьями расходов на оплату затрат по доставке избирательных бюллетеней на выборах депутатов ЯОД 7 созыва</t>
  </si>
  <si>
    <t>918 Ярославская областная Дума</t>
  </si>
  <si>
    <r>
      <t>Увеличение ассигнований в свзи с приведением в соответствие с установленными нормативами ФОТ и страховых взносов во внебюджетные фонды.</t>
    </r>
    <r>
      <rPr>
        <b/>
        <sz val="10"/>
        <color theme="1"/>
        <rFont val="Times New Roman"/>
        <family val="1"/>
        <charset val="204"/>
      </rPr>
      <t xml:space="preserve"> Аналогичные расходы предусмотреть в 2019-2020 годах </t>
    </r>
  </si>
  <si>
    <t>Обеспечение деятельности подведомственных учреждений</t>
  </si>
  <si>
    <t>Расходы на оплату труда</t>
  </si>
  <si>
    <t>Увеличение ассигнований ГКУ ЯО "Транспортая служба" на 2339,6 тыс. руб. в связи с увеличением размера выплат компенсационного характера, на 1998,4 в связи с увеличением расчетной численности с 01.09.2018 на 15 ед. водителей, на 652,5 тыс. руб. на увеличение расчтеной численности на 5 ед. для замещения на время отпусков основных водителей с 01.09.2018, на 380 тыс. руб на увеличение расчетной численности 2 автослесарей, 1 инженера с 01.09.2018, на 1621,9 тыс. руб. - увеличение расходов на начисления на оплату труда в связи с увеличением расходов на оплату труда ГКУ с 01.09.2018</t>
  </si>
  <si>
    <t>Субвенция на реализацию отдельных полномочий в сфере законодательства об административных правонарушениях</t>
  </si>
  <si>
    <t>Субвенция на обеспечение профилактики безнадзорности, правонарушений несовершеннолетних и защиты их прав</t>
  </si>
  <si>
    <t>Субвенция на исполнение государственных полномочий РФ на государственную регистрацию актов гражданского состояния</t>
  </si>
  <si>
    <t>Исполнение судебных решений</t>
  </si>
  <si>
    <t>Предоставление субсидий бюджетным, автономным учреждениям и иным некоммерческим организациям</t>
  </si>
  <si>
    <t>Субсидия религиозной организации на сохранение объекта культурного наследия федерального значения "Церковь Богоявления на Острове" в д. Хопылёво Рыбинского района Ярославской области</t>
  </si>
  <si>
    <t>Перераспределение ассигнований в связи с увеличением служебных командировок</t>
  </si>
  <si>
    <t>Увеличение ассигнований ГКУ ЯО "Государственный архив" на арендную плату на 1,5 мес - 1087,58</t>
  </si>
  <si>
    <t>Уплата иных платежей</t>
  </si>
  <si>
    <t>Перераспределение ассигнований с ГКУ "Транспортная служба ЯО", ГКУ "УСЭАЗ ЯО" на  ГКУ "Государственный архив ЯО"   для оплаты коммунальных расходов в сумме 473,3 тыс. руб., перезарядки огнетушителей 289,9 тыс. руб., медосмотра работников  - 299,8 тыс. руб., приобретение программного обеспечения  -851,2 тыс. руб., повышение квалификации  - 133,0 тыс. руб., зап частей к компьютеру, картриджей, картона, канц и хоз товаров - 41,8 тыс. руб.</t>
  </si>
  <si>
    <t>Перераспределение ассигнований на оплату исполнительного листа</t>
  </si>
  <si>
    <t>924 Департамент строительства ЯО</t>
  </si>
  <si>
    <t>Ассигнования для возмещения затрат на выплату компенсации за неиспользованный отпуск с начислениями</t>
  </si>
  <si>
    <t>60 тыс.руб. - на приобретение 2-х МФУ, 30 тыс.руб. - на приобретение 2-х принтеров, 10 тыс.руб. - приобретение 2-х жестких дисков для сервера, 200 тыс.руб. - приобретение 5-ти компьютеров, 31,1 тыс.руб. - приобретение расходных материалов для оргтехники и заправка картриджей, 400 тыс.руб. - приобретение мебели и систем кондиционирования воздуха</t>
  </si>
  <si>
    <t>Увеличение ассигнований на возмещение расходов на оплату найма жилого помещения (112 тыс.руб.) ,  выплату пособий по уходу за ребенком до 3-х лет (0,75 тыс.руб.), командировочные расходы (10,8 тыс.руб.)</t>
  </si>
  <si>
    <t>Перераспределение ассигнований в связи с уточнением целевой статьи расходов</t>
  </si>
  <si>
    <t>Увеличение ассигнований на изготовление информационных материалово безопасности использования газового оборудования (30 тыс.буклетов и 9 баннеров/плакатов в 5 муниц.образований)</t>
  </si>
  <si>
    <t>Уменьшение средств экономии, образовавшейся в результате проведения конкурсных процедур</t>
  </si>
  <si>
    <t>увеличение ассигнований в том числе 30 т.р. - на приобретение кондиционера в кабинет начальника инспекции, 10 т.р.- на приобретение бумаги, 10 т.р. - на услуги по заправке картриджей</t>
  </si>
  <si>
    <t xml:space="preserve">Перераспределение ассигнований между целевыми статьями для соцвыплат неработающим пенсионерам </t>
  </si>
  <si>
    <t>Перераспределение ассигнований с ОЦП "Гармонизация межнациональных отношений в Ярославской области" на расходы по содержанию департамента на кредиторскую задолженность 2017 года</t>
  </si>
  <si>
    <t>Общественная палата</t>
  </si>
  <si>
    <t>Уменьшение ассигнований в связи с экономией расходов на оплату труда работников Общественной палаты</t>
  </si>
  <si>
    <t>Субсидия на выполнение государственного задания ГАУ ЯО "Информационное агентство "Верхняя Волга"</t>
  </si>
  <si>
    <t xml:space="preserve">Увеличение ассигнований на погашение кредиторской задолженности учредителя по предоставлению субсидии в 2017 году </t>
  </si>
  <si>
    <t>Увеличение ассигнований в связи с увеличением количества публикакций о деятельности ОИВ с целью активизации разъяснительной работы среди жителей области по темам, имеющим серьезный общественный резонанс для снятия напряженности, а также содействия поддержке развития средств массовой информации в муниципальных районах области</t>
  </si>
  <si>
    <t xml:space="preserve">Увеличение ассигнований на закупку карты для мониторинга ЧС на территории области -7,5 тыс. руб., обучение сотрудников  по управлению государственными и муниципальными закупками  - 48,0 тыс. руб. </t>
  </si>
  <si>
    <t>951  Департамент ветеринарии ЯО</t>
  </si>
  <si>
    <t>Перераспределение ассигнований в связи с уточнением расходов по смете аппарата</t>
  </si>
  <si>
    <t>Увеличение ассигнований на компенсационные выплаты при увольнении директора департамента</t>
  </si>
  <si>
    <t>Увеличение ассигнований на возмещение расходов на найм жилого помещения</t>
  </si>
  <si>
    <t>Перераспределение ассигнований с ВЦП на расходы по смете департамента (заправка картриджей - 20 тыс.руб., почтовые услуги, диспансеризация - 60 тыс.руб., услуги связи - 40 тыс.руб., бумага и канцтовары - 80 тыс.руб.)</t>
  </si>
  <si>
    <t>961 Контрольно-ревизионная инспекция ЯО</t>
  </si>
  <si>
    <t>Перераспределение ассигнований в связи с уточнением расходов на содержание инспекции</t>
  </si>
  <si>
    <t xml:space="preserve">Перераспределение ассигнований в связи с компенсаций при сокращении должности государственной гражданской службы в размере четерехмесячного дережного содержания </t>
  </si>
  <si>
    <t>962 Агентство по обеспечению деятельности мировых судей ЯО</t>
  </si>
  <si>
    <t>речной транспорт</t>
  </si>
  <si>
    <t>Уменьшение ассигнований на 2 276 тыс. руб. в связи с уточнением потребности</t>
  </si>
  <si>
    <t>Перераспределение ассигнований для оплаты пени по исполнительным листам на непрограммные расходы департамента</t>
  </si>
  <si>
    <t>Перераспределение ассигнований для осуществления выплат сокращенным сотрудникам ГБУЗ ЯО "ЦККЛС"</t>
  </si>
  <si>
    <t>Перераспределение бюджетных ассигнований между видами расходов по ГКУЗ ЯО "Областной детский тубсанаторий "Бабайки"" для приведения в соответствие бюджетной классификации расходов по техническому обслуживанию средств пожарной сигнализации</t>
  </si>
  <si>
    <t>Перераспределение ассигнований между задачами для расходов на проведение праздника, посвященного дню медицинского работника</t>
  </si>
  <si>
    <t>субсидии на иные цели</t>
  </si>
  <si>
    <t>субсидия на финансовое обеспечение выполнения государственного задания</t>
  </si>
  <si>
    <t>Перераспределение ассигнований на обеспечение госзадания за счет резерва на поддержание учреждений в системе ОМС (до уровня 2017 года необходимо 127 млн.руб.)</t>
  </si>
  <si>
    <t xml:space="preserve">Доведение з/пл отдельных категорий работников до средней з/пл по региону (29310 руб.) </t>
  </si>
  <si>
    <t>Перераспределение ассигнований между видами расходов бюджетной классификации на уплату налогов казенным учреждением</t>
  </si>
  <si>
    <t xml:space="preserve">Перераспределение ассигнований между видами расходов для осуществления расходов на капитальный ремонт </t>
  </si>
  <si>
    <t xml:space="preserve">Перераспределение ассигнований по итогам конкурса, проведенного на основании социального заказа </t>
  </si>
  <si>
    <t xml:space="preserve">Перераспределение ассигнований между видами расходов для обеспечения мероприятий по модернизации технологий и содержания обучения </t>
  </si>
  <si>
    <t xml:space="preserve">Перераспределение ассигнований на выплату выходного пособия детям-сиротам между подразделами бюджетной классификации расходов </t>
  </si>
  <si>
    <t xml:space="preserve">Перераспределение ассигнований между видами расходов с целью увеличения ассигнований на приобретение учебников </t>
  </si>
  <si>
    <t xml:space="preserve">Перераспределение ассигнований между функциональной классификацией расходов в связи с корректировкой ГЗ ГАУ ЦОиККО </t>
  </si>
  <si>
    <t>Перераспределение ассигнований между функциональной классификацией и видами расходов в связи с реорганизацией ГОУ ЯО "Ярославская школа № 21" (постановление Правительства Ярославской области от 17.07.2018 г. № 541-п)</t>
  </si>
  <si>
    <t>Перераспределение ассигнований между видами расходов для обеспечения выплаты стипенидии одаренному ребенку</t>
  </si>
  <si>
    <t>Увеличение ассигнований с целью обеспечения софинансирования из средств областного бюджета в связи с предоставлением гранта в форме субсидии за счет средств федерального бюджета ГПОАУ ЯО "Ярославский педагогический колледж" в рамках реализации мероприятия «Обновление и модернизация материально-технической базы профессиональных образовательных организаций» государственной программы Российской Федерации «Развитие образования» в сумме 14455,3 т.р. (гарантийное письмо от 28.05.18 № ИХ.01-05587/18)</t>
  </si>
  <si>
    <t>Увеличение ассигнований на финансовое обеспечение ГЗ до уровня 2017 года</t>
  </si>
  <si>
    <t>Увеличение ассигнований в связи с индексацией МРОТ</t>
  </si>
  <si>
    <t>Увеличение ассигнований на обеспечение исполнения Указов Президента РФ в связи с ростом прогнозного значения среднего дохода от трудовой деятельности</t>
  </si>
  <si>
    <t>Субвенция на выплату единовременного пособия при всех формах устройства детей, лишенных родительского попечения, в семью за счет средств федерального бюджета</t>
  </si>
  <si>
    <t>Перераспределение ассигнований между муниципальными районами (городскими округами) в связи с уточнением контингента получателей</t>
  </si>
  <si>
    <t>Субвенция на организацию образовательного процесса в общеобразовательных организациях</t>
  </si>
  <si>
    <t>Отклонить. Увеличение ассигнований в связи с ростом общего контингента обучающихся на 1695 чел. (с 127810 до 129505), в том числе со спецификой, неполное выделение ассигнований на 2018 год. Расходы произвести в пределах ассигнований текущего года</t>
  </si>
  <si>
    <t xml:space="preserve">Субвенция на организацию образовательного процесса в дошкольных образовательных организациях </t>
  </si>
  <si>
    <t>Отклонить. Увеличение ассигнований в связи с ростом контингента воспитанников со спецификой, неполное выделение ассигнований на 2018 год. Расходы произвести в пределах ассигнований текущего года</t>
  </si>
  <si>
    <t>Субвенция на выплаты медицинским работникам, осуществляющим медицинское обслуживание обучающихся и воспитанников муниципальных образовательных организаций</t>
  </si>
  <si>
    <t>Перераспределение ассигнований между муниципальными районами в связи с уточнением потребности</t>
  </si>
  <si>
    <t>Субвенция на содержание муниципальных организаций для детей-сирот и детей, оставшихся без попечения родителей, и на предоставление социальных гарантий их воспитанникам</t>
  </si>
  <si>
    <t>Перераспределение ассигнований между муниципальными районами и увеличение ассигнований в связи с ростом контингента воспитанников на 10 человек</t>
  </si>
  <si>
    <t>Увеличение ассигнований на достижение показателей Указов Президента РФ исходя из нового прогнозного значения среднемесячной заработной платы</t>
  </si>
  <si>
    <t>Субвенция на организацию питания обучающихся образовательных организаций</t>
  </si>
  <si>
    <t>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</si>
  <si>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Перераспределение ассигнований между муниципальными районами и увеличение ассигнований в связи с повышением размера родительской платы в 16 муниципальных образованиях с 01.01.2018 г., в одном муниципальном образовании с 01.07.2018 г., а также в связи с увеличением контингента воспитанников</t>
  </si>
  <si>
    <t>Субвенция на государственную поддержку опеки и попечительства</t>
  </si>
  <si>
    <t>Перераспределение ассигнований между муниципальными районами в связи с изменением контингента получателей</t>
  </si>
  <si>
    <t>Субвенция на содержание ребенка в семье опекуна и приемной семье, а также вознаграждение, причитающееся приемному родителю</t>
  </si>
  <si>
    <t>Субсидия на повышение оплаты труда отдельных категорий работников муниципальных учреждений в сфере образования</t>
  </si>
  <si>
    <t>Переаспределение ассигнований между муниципальными районам и увеличение ассигнований на предоставление субсидии</t>
  </si>
  <si>
    <t>Перераспределение ассигнований на непрограммные расходы для восстановления средств, взысканных в доход федерального бюджета по решению МФ РФ  за нарушение условий предоставления федеральных субсидий на финансовое обеспечение мероприятий ФЦП "Рпазвитие образования"</t>
  </si>
  <si>
    <t>Перераспределение ассигнований между видами расходов в связи с изменением исполнителя мероприятия программы</t>
  </si>
  <si>
    <t>Перераспределение ассигнований между видами расходов на погашение кредиторской задолженности за 2017 год</t>
  </si>
  <si>
    <t>Увеличение ассигнований в связи с повышением МРОТ с 01.05.2018</t>
  </si>
  <si>
    <t>Субсидия на выполнение государственного задания</t>
  </si>
  <si>
    <t xml:space="preserve">Отклонить. Мероприятие проведено за счет ассигнований на государственное задание ГАУ "Центр патриотического воспитания"  </t>
  </si>
  <si>
    <t>Поддержать. Увеличение  ассигнований на финансовое обеспечение выполнения государственного задания. С целью отправки детей в ФГБОУ «МДЦ «Артек» (7 дополнительных путевок)</t>
  </si>
  <si>
    <t>Субсидия на иные цели</t>
  </si>
  <si>
    <t>Перераспределение ассигнований между задачами  в связи с изменением исполнителей мероприятий для детей и молодежи</t>
  </si>
  <si>
    <t>Субвенция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за счет средств федерального бюджета</t>
  </si>
  <si>
    <t xml:space="preserve">Перераспределение ассигнований между МР  в связи с изменением количества получателей (заявительный характер)  (Узаконить ув.от 29.05.2018 № 909/01/94 +/- 65,887 тыс. руб.,от 02.12.2018 № 909/01/118 +/- 13,563 тыс. руб.,от 07.08.2018 № 909/10/123 +/- 150,105 тыс. руб.,) </t>
  </si>
  <si>
    <t>Субвенция на социальную поддержку отдельных категорий граждан в части ежемесячной денежной выплаты ветеранам труда, труженикам тыла, реабилитированным лицам</t>
  </si>
  <si>
    <t>Перераспределение ассигнований   на субвенции   денежные выплаты - 20 768 тыс. руб. и  на социальную поддержку отдельных категорий граждан в частив части ежемесячного пособия на ребенка - 1433 тыс.руб. в связи с изменением количества получателей (заявительный характер)</t>
  </si>
  <si>
    <t>Субвенция на денежные выплаты</t>
  </si>
  <si>
    <t>Перераспределение ассигнований между МР 3790 тыс.руб. в связи с изменением количества получателей (заявительный характер) (Узаконить ув.от .08.2018 № 909/ )</t>
  </si>
  <si>
    <t>Субвенция на социальную поддержку отдельных категорий граждан в части ежемесячного пособия на ребенка</t>
  </si>
  <si>
    <t>Увеличение ассигнований с связи с уточнение количества получателей 8 565,3 т.р..Перераспределение ассигнований между МР 2 052 т.р.(Узаконить ув.от .08.2018 № 909/   /    )</t>
  </si>
  <si>
    <t>Социальная поддержка Героев Советского Союза, Героев Российской Федерации и полных кавалеров ордена Славы за счет средств Пенсионного фонда Российской Федерации</t>
  </si>
  <si>
    <t>Реализация отдельных функций и полномочий в области социальной поддержки населения</t>
  </si>
  <si>
    <t>Субвенция на оказание социальной помощи отдельным категориям граждан</t>
  </si>
  <si>
    <t xml:space="preserve">Увеличение ассигнований 3 220 тыс.руб. в связи с увеличением количества обращений граждан, в том числе пострадавших в результате  чрезвычайных ситуаций (пожаров)  </t>
  </si>
  <si>
    <r>
      <t>Субвенция на ежемесячную денежную выплату, назначаемую при рождении третьего ребенка или последующих детей до достижения ребенком возраста трех лет</t>
    </r>
    <r>
      <rPr>
        <b/>
        <sz val="10"/>
        <color theme="1"/>
        <rFont val="Times New Roman"/>
        <family val="1"/>
        <charset val="204"/>
      </rPr>
      <t xml:space="preserve"> (средства ОБ)</t>
    </r>
  </si>
  <si>
    <t>Увеличение ассигнований в связи с увеличением количества получателей и соблюдения условий софинансирования с ФБ. Перераспределение ассигнований между МР  в связи с изменением количества получателей                                                                                                                                                                                                                                                                                                                                                                                                                                                                                                                                                                                                                                                                                                                                                                                            (Узаконить ув.от .08.2018 № 909/   /    )</t>
  </si>
  <si>
    <r>
      <t>Субвенция на ежемесячную денежную выплату, назначаемую при рождении третьего ребенка или последующих детей до достижения ребенком возраста трех лет</t>
    </r>
    <r>
      <rPr>
        <b/>
        <sz val="10"/>
        <color theme="1"/>
        <rFont val="Times New Roman"/>
        <family val="1"/>
        <charset val="204"/>
      </rPr>
      <t xml:space="preserve"> (средства ФБ)</t>
    </r>
  </si>
  <si>
    <t xml:space="preserve">Перераспределение ассигнований между МР  в связи с изменением количества получателей </t>
  </si>
  <si>
    <t>Государственная поддержка неработающих пенсионеров в учреждениях, подведомственных учредителю в сфере социальной поддержки населения</t>
  </si>
  <si>
    <t>Дополнительное материальное обеспечение почетных граждан Ярославской области</t>
  </si>
  <si>
    <t>Перераспределение ассигнований на организацию выплаты с 01.08.2018 г. в связи с присвоением почетного звания "Почетный гражданин Ярославской области"</t>
  </si>
  <si>
    <t>Перераспределение ассигнований с доплаты к пенсиям лицам, внесшим значительный личный вклад в социально-экономическое развитие Ярославской области на организацию выплат к Международному дню пожилых людей, в связи с увеличением количества неработающих пенсионеров</t>
  </si>
  <si>
    <t>Стационарные учреждения социального обслуживания для граждан пожилого возраста и инвалидов (ГКУ СО ЯО Гаврилов-Ямский детский дом-интернат для умственно отсталых детей)</t>
  </si>
  <si>
    <t>Прочие учреждения в сфере социальной политики (ГБУ СО ЯО -  СОЦ "Чайка", "Центр социального обслуживания граждан пожилого возраста и инвалидов")</t>
  </si>
  <si>
    <t>Прочие учреждения в сфере социальной политики (ГКУ СО ЯО -СРЦ для несовершеннолетних)</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</si>
  <si>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</si>
  <si>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Прочие учреждения в сфере социальной политики (ГКУ СО ЯО - СРЦ для несовершеннолетних)</t>
  </si>
  <si>
    <t>Увеличение ассигнований в связи ликвидацией СРЦ "Родник" (выплаты выходного пособия)</t>
  </si>
  <si>
    <t>На реализацию Указов Президента РФ  в части повышения оплаты труда работников бюджетной сферы (до 28722,5 руб. в полном объеме)</t>
  </si>
  <si>
    <t>Доп.потребность на доплаты до МРОТ (9489 руб.)</t>
  </si>
  <si>
    <t xml:space="preserve">Увеличение ассигнований   на МРОТ с 1 января 2018 года ,в т.ч. ГБУ 1709,8 т.р. руб. , ГКУ 504,3 т.р., МУ СО 2 211 т.р. согласно уточненного расчета </t>
  </si>
  <si>
    <t xml:space="preserve">Доп.потребность на доплаты до МРОТ (11163 руб.) </t>
  </si>
  <si>
    <t>Доп.потребность на сохранение дифференцированного подхода к оплате труда, в т.ч.</t>
  </si>
  <si>
    <t>Премия младшему мед.персоналу в июне 2018 года сучетом  изменения средней ЗП до 29310 руб.</t>
  </si>
  <si>
    <t xml:space="preserve"> Увеличение ассигнований в соответствии с Протоколом рабочего совещания от 12 июля 2018 года по вопросу внесения  изменений в ОСОТ, в т.ч. ГБУ 5 683,7 т.р., ГКУ 725,6 т.р., МУ СО 890,7т.р. </t>
  </si>
  <si>
    <t xml:space="preserve">Увеличение ассигнований  на реализациюУказов Президента РФ в связи с изменением средней зарплаты по региону в 2018 году до 29310 руб.,в т.ч. ГБУ 11 678,5 т.р. , ГКУ 2 678,7 т.р., МУ СО 26 999,3 т.р. </t>
  </si>
  <si>
    <t>Субвенция на компенсацию части расходов на приобретение путевки в организации отдыха детей и их оздоровления</t>
  </si>
  <si>
    <t xml:space="preserve">Увеличение ассигнований в связи с увеличением компнесации стоимости путевки в 2018 году  1 500 т.р. Перераспределение ассигнований с субвенции на частичную оплату стоимости путевки в организации отдыха детей и их оздоровления в связи с уточнением количества обращений         1 158 т.р.  </t>
  </si>
  <si>
    <t>Субвенция на частичную оплату стоимости путевки в организации отдыха детей и их оздоровления</t>
  </si>
  <si>
    <t>Перераспределение ассигнований  на субвенцию по компенсации части расходов на приобретение путевки в организации отдыха детей и их оздоровления, в связи с отсутствием заявок на предоставление данного вида поддержки (возвраты)</t>
  </si>
  <si>
    <t>Оказание адресной материальной помощи семьям, находящимся в трудной жизненной ситуации, воспитывающим несовершеннолетних детей, а также семьям, в которых одновременно родились и воспитываются 3 и более детей</t>
  </si>
  <si>
    <t>Содержание центров занятости</t>
  </si>
  <si>
    <t>Увеличение ассигнований на начисления на фонд оплаты труда  за  ноябрь 2018 г., а также для оплаты листков нетрудоспособности за декабрь.</t>
  </si>
  <si>
    <t xml:space="preserve">Содержание центров занятости, </t>
  </si>
  <si>
    <t xml:space="preserve">Уменьшение ассигнований в связи с образованием экономии по итогам конкурсных процедур </t>
  </si>
  <si>
    <t xml:space="preserve">Перераспределение ассигнований в связи с изменением потребности на мероприятия активной политики занятости населения для оказания государственных услуг (  узаконить ув. от 30.07.2018 №934/10/42 +/- 338,593 тыс.руб.)                                                                                                    </t>
  </si>
  <si>
    <t xml:space="preserve">Перераспределение ассигнований между КВР в связи с изменением потребности на мероприятия активной политики занятости населения для оказания государственных услуг.                                                                                                                                                           </t>
  </si>
  <si>
    <t>Поддержка творческой деятельности и техническое оснащение детских и кукольных театров</t>
  </si>
  <si>
    <t xml:space="preserve">Увеличение ассигнований в связи с изменением субсидии из федерального бюджета на поддержку творческой деятельности и техническое оснащение детских и кукольных театров из федерального бюджета бюджетам субъектов РФ </t>
  </si>
  <si>
    <t>Увеличение ассигнований на достижение показателей Указов Президента РФ (в т.ч. 22 584 т.р. - доведение до уровня средней з/п 28722 руб.,            14 632 т.р. - доведение до уровня средней з/п 29310 руб.)</t>
  </si>
  <si>
    <t>Увеличение ассигнований на достижение показателей Указов Президента РФ  по оплате труда педагогических работников среднего профессионального образования</t>
  </si>
  <si>
    <t>Увеличение асссигнований на доведение оплаты труда до уровня МРОТ</t>
  </si>
  <si>
    <t>Увеличение ассигнований ГАУК ЯО "Культурно-просветительский центр им. В.В. Терешковой" для замены оборудования звездного зала в связи с его техническим состоянием. Рассмотреть при планировании бюджета на 2019 -2021 года</t>
  </si>
  <si>
    <t>Увеличение ассигнований на выполнение проектных и ремонтных работ для переоборудования помещения ГУК ЯО "Ярославский театр кукол" в соответствие с противопожарными, санитарными правилами, правилами по технике безопасности и охране труда. Рассмотреть при планировании бюджета на 2019 -2021 года</t>
  </si>
  <si>
    <t>Увеличение ассигнований на проведение первоочередных ремонтно-реставрационных работ в помещении Большого дома (экспозиция "Спальная"), арка на Московской дороге, благоустройство территории в ГАУК ЯО музей-заповедник им. Некрасова "Карабиха"</t>
  </si>
  <si>
    <t>Увеличение ассигнований на проектные работы в целях реализации Указа Президента РФ от 28 июня 2016 года № 303 "О праздновании 200-летия со дня рождения Н.А. Некрасова" и Постановления правительства ЯО от 21.06.2017г.№ 500-п "Об утверждении сводного регионального плана мероприятий по подготовке и проведению празднования 200-летия со дня рождения Н.А. Некрасова"</t>
  </si>
  <si>
    <t>Увеличение ассигнований на приобретения автомобиля для ГУК ЯО «Областная специальная библиотека» для библиотечно-информационного обслуживания в домах-интернатах и на дому инвалидов и маломобильной части населения города и области. Рассмотреть при планировании бюджета на 2019 -2021 года</t>
  </si>
  <si>
    <t>Увеличение ассигнований для проведения противоаварийных работ на входной группе основного здания ГАУК ЯО "Рыбинский музей-заповедник". Рассмотреть при планировании бюджета на 2019 -2021 года</t>
  </si>
  <si>
    <t>Увеличение ассигнований для проведения ремонтно-реставрационных работ с целью открытия филиала Ярославского художественного музея в г. Тутаев. Рассмотреть при планировании бюджета на 2019 -2021 года</t>
  </si>
  <si>
    <t>Увеличение ассигнований на проведение первоочередных ремонтно-реставрационных работ на ОКН "Мучной гостиный двор" включая выполнение противопожарных мероприятий в соответствии с предписаниями Госпожнадзора. Рассмотреть при планировании бюджета на 2019 -2021 года</t>
  </si>
  <si>
    <t>Увеличение ассигнований на проведение ремонтных работ фасадов, кровли, замену окон, дверей, замены отопительной системы, замену оборудования и монтажа обновленной экспгозиции в ГАУК ЯО "Ярославский музей-заповедник" Музей "Космос". Рассмотреть при планировании бюджета на 2019 -2021 года</t>
  </si>
  <si>
    <t>Увеличение ассигнований для закупки средств индивидуальной защиты и медицинских средств индивидуальной защиты для ГАУК ЯО "Концертно-зрелищный центр" (приобретение противогазов). Рассмотреть при планировании бюджета на 2019 -2021 года</t>
  </si>
  <si>
    <t>Увеличение ассигнований на устранение замечаний контролирующих органов по технике безопасности, противопожарным мероприятим в соотвтетсвии с Планом устранения недостатков по выполнению Требований (Паспорта безопасности). Рассмотреть при планировании бюджета на 2019 -2021 года</t>
  </si>
  <si>
    <t>Увеличение ассигнований на устранение аварийной ситуации (протечка кровли в экспозиции СОКРОВИЩА ЯРОСЛАВЛЯ в ГАУК ЯО "Ярославский государственный историко-архитектурный и художественный музей-заповедник"). Рассмотреть при планировании бюджета на 2019 -2021 года</t>
  </si>
  <si>
    <t>Субсидия на повышение оплаты труда работников муниципальных учреждений в сфере культуры</t>
  </si>
  <si>
    <t>Увеличение ассигнований на достижение показателей Указов Президента РФ (21 894,8 т.р. - доведение до уровня средней з/п 28722 руб., 21 250,8 т.р. - доведение до уровня средней з/п 29310 руб.)</t>
  </si>
  <si>
    <t xml:space="preserve">Перераспределение ассигнований между разделами, подразделами, целевыми статьями и видами бюджетной классификации расходов с целью увеличения субсидии на финансовое обеспечение выпонения государственного задания </t>
  </si>
  <si>
    <t xml:space="preserve">Перераспределение ассигнований с субсидии на иные цели на субсидию на финансовое обеспечение выполнения государственного задания с целью приведения в соответствие регионального софинансирования федеральных средств на поддержку творческой деятельности и техническое оснащение детских и кукольных театров </t>
  </si>
  <si>
    <t>Отклонить.Увеличение ассигнований НП ХК "Локомотив"</t>
  </si>
  <si>
    <t>Перераспределение ассигнований для награждения призеров Чемпионата Мира по плаванию в ластах</t>
  </si>
  <si>
    <t>Перераспределение ассигнований между подразделами по итогам проведения конкурса на предоставление субсидии спортивным некоммерческим организациям</t>
  </si>
  <si>
    <t>Перераспределение ассигнований между подразделами и видами расходов на стипендии и питание спортсменам</t>
  </si>
  <si>
    <t xml:space="preserve">Перераспределение ассигнований по итогам смотра-конкурса на лучшую постановку учебно-тренировочного процесса </t>
  </si>
  <si>
    <t>Перераспределение ассигнований с ОЦП "Повышение эффективности и качества профессионального образования ЯО"для восстановления средств, взысканных в доход федерального бюджета по решению МФ РФ  за нарушение условий предоставления федеральных субсидий на финансовое обеспечение мероприятий ФЦП "Рпазвитие образования" (заявка № 903/01/128 от 25.05.2018)</t>
  </si>
  <si>
    <t>Увеличение ассигнований в соответствии с распоряжением Правительства Российской Федерации от 14.07.2018г. № 1464-р  на финансовое обеспечение оказания отдельным категориям граждан социальной услуги на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</si>
  <si>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Перераспределение ассигнований между видами расходов по ГКУЗ ЯО "Медицинский центр мобилизизационных резервов "Резерв" для погашения пеней и штрафов</t>
  </si>
  <si>
    <t>Перераспределение ассигнований между видами расходов и между задачами по ГКУЗ ЯО Дом ребенка №2 для проведения работ по капитальному ремонту (предписание Роспотребнадзора №1187 от 10.11.2017г.) и приведения в соответствие бюджетной классификации</t>
  </si>
  <si>
    <t>Перераспределение ассигнований между видами расходов по ГКУЗ ЯО Дом ребенка №1  для оплаты пеней за нарушение сроков оплаты по заключенным договорам</t>
  </si>
  <si>
    <t>Перераспределение ассигнований между видами расходов по ГКУЗ ЯО Дом ребенка №2 для приведения в соответствие бюджетной классификации</t>
  </si>
  <si>
    <t>Перераспределение ассигнований между КВР в целях выполнения Указов Президента РФ по повышению заработной платы с учетом оптимизации штатной численности</t>
  </si>
  <si>
    <t>Перераспределение ассигнований на целевую субсидию по содержанию временно нефункционирующего имущества ГБУЗ ЯО ТЦМК</t>
  </si>
  <si>
    <t xml:space="preserve">Перераспределение ассигнований по субсидии на проведение капитального ремонта между разделами для приведения в соответствие бюджетной классификации </t>
  </si>
  <si>
    <t xml:space="preserve"> Перераспределение ассигнований  между подразделами в связи с прведением в сооответствие с бюджетной классификацией</t>
  </si>
  <si>
    <t>Перераспределение ассигнований  по содержание переданного  ГБУЗ ЯО ТЦМК имущества</t>
  </si>
  <si>
    <t>Перераспределение ассигнований по целевой субсидии между подразделами для проведения капитального ремонты помещений для размещения Единой диспетчерской службы ГУЗ ЯО ССМП г. Ярославль</t>
  </si>
  <si>
    <t>Перераспределение ассигнований между  разделами, подразделами, целевыми статьями в связи с перераспределением субсидий на иные цели на проведение капремонта и противопожарных мероприятий в рамках ВЦП между учреждениями здравоохранения</t>
  </si>
  <si>
    <t>Перераспределение ассигнований ГУЗ ЯО "Брейтовская ЦРБ" между  подразделами  для проведения капитального ремонта гаража для машин скорой медицинской помощи</t>
  </si>
  <si>
    <t xml:space="preserve"> Перераспределение ассигнований между задачами, в связи с открытием государственного задания ГБУЗ ЯО "ОЦМП" по новой услуге (работе)</t>
  </si>
  <si>
    <t>Увеличение ассигнований с учетом наличия остатков средств на счетах учреждений на погашение кредиторской задолженности и  ранее выделенных средств при уточнениях бюджета на погашение задолженности в сумме 70 млн.руб.Оставшуюся сумму задолженности  (75 453 622 руб.) предлагаем урегулировать путем списания</t>
  </si>
  <si>
    <t>Перераспределение ассигнований между КВР на выполнение Указов Президента РФ по повышению оплаты труда в связи с оптимизацией штатной численности</t>
  </si>
  <si>
    <t>Увеличение ассигнований в связи с индексацией МРОТ - 40338,7 тыс. руб., на достижение показателей, установленных Указами Президента РФ (до средней 28 722,5 руб.) -  156 669,3 тыс.руб., на достижение показателей Указов Президента РФ исходя из нового прогнозного значения среднемесячной заработной платы -  81 455,3 тыс. руб.</t>
  </si>
  <si>
    <t>Увеличение ассигнований в связи с индексацией МРОТ - 31 873,5 тыс. руб., на достижение показателей, установленных Указами Президента РФ (до средней 28 722,5 руб.) -  76 499,8 тыс.руб., на достижение показателей Указов Президента РФ исходя из нового прогнозного значения среднемесячной заработной платы -  90 390,2 тыс. руб.</t>
  </si>
  <si>
    <t>Увеличение ассигнований в объеме средств, направленных на погашение КЗ за 2017 год. Средства необходимы на организацию и проведение IV регионального Чемпионата «Молодые профессионалы» («WorldSkills Russia»), обеспечение материалами и оборудованием в рамках инфраструктурных листов по компетенциям; на поощрение победителей, призеров и их наставников Национального чемпионата Молодые профессионалы» («WorldSkills Russia»); на организацию и проведение III регионального Чемпионата «Абилимпикс» 16-17 октября; подготовку и участие команды победителей от Ярославской области в IV Национальном чемпионате «Абилимпикс» в ноябре 2018 года</t>
  </si>
  <si>
    <t xml:space="preserve">Увеличение ассигнований в сумме 58 926 тыс. руб. с целью обеспечения годовой потребности субвенции на оплату жилого помещения и коммунальных услуг отдельным категориям граждан, оказание мер социальной поддержки которым относится к полномочиям Ярославской области
Перераспределение ассигнований в сумме 17 121 тыс.руб. между муниципальными образованиями  в связи с изменением количества получателей </t>
  </si>
  <si>
    <t xml:space="preserve">Увеличение  ассигнований 606 тыс. руб. на финансовое обеспечение выполнения гос.заданий  </t>
  </si>
  <si>
    <t>Увеличение ассигнований на погашение  просроченной кредиторской задолженности, образовавшейся по состоянию на 01.01.2018  (начисления на оплату труда)</t>
  </si>
  <si>
    <t>Увеличение ассигнований на расходы по досрочной выплате зарплаты за 2-ю половину декабря 2018 года в связи с реорганизацией Переславского КЦСОН с 01.01.2019</t>
  </si>
  <si>
    <t>Увеличение ассигнований на реализацию Указов Президента Российской Федерации  в т.ч. ГБУ 85 149 т.р., ГКУ 25 391,8 т.р., МУ СО 8 632,4 т.р. Перераспределение ассигнований между МР 21 647 т.р.</t>
  </si>
  <si>
    <t>Увеличение ассигнований  на оказание адресной материальной помощи семьям, находящимся в трудной жизненной ситуации, воспитывающим несовершеннолетних детей, в связи с увеличением числа обращений граждан в адрес Губернатора и Правительства области</t>
  </si>
  <si>
    <t xml:space="preserve">Увеличение ассигнований в связи с погашением кредиторской задолженности за 2017 год за счет ассигнований 2018 года и дополнительно требуются средства на проведение новогодних ёлок </t>
  </si>
  <si>
    <t xml:space="preserve">Увеличение ассигнований  в соответствии с федеральным законом от 03.07.2018  № 193-ФЗ (уведомление от 06.07.20018  780-2018-2-009/001) </t>
  </si>
  <si>
    <t xml:space="preserve">Увеличение ассигнований в соответствии с федеральным законом от 03.07.2018  № 193-ФЗ (уведомление от 06.07.20018  780-2018-2-009/001) </t>
  </si>
  <si>
    <t xml:space="preserve">Перераспределение ассигнований в связи софинансированием  из федерального бюджета для завершения строительства объекта «Берегоукрепление правого берега р. Волга. Ярославская область, г. Рыбинск, участок от «Обелиска» до ДС «Полет». Этап 1 – берегоукрепительные работы (устройство берегоукрепительного сооружения)»
</t>
  </si>
  <si>
    <t>Увеличение ассигнований  за счет средств федерального бюджета на на государственную поддержку малого и среднего предпринимательства</t>
  </si>
  <si>
    <t>Перераспределение ассигнований за счет экономии от закупок на смету департамента  на кредиторскую задолженность 2017 года</t>
  </si>
  <si>
    <t>Перераспределение ассигнований  с ведомственной целевой программы на ОЦП "Развитие информационного общества в Ярославской области" на приобретение дисковых массивов для расширения емкости хранилища данных ЦОД Правительства Ярославской области</t>
  </si>
  <si>
    <t>Увеличение ассигнований для обеспечения резервной маршрутизации вызовов при неисправности системы - 112, послегарантийного технческого обслуживания всех компонентов системы - 112, поддержки функционирования системы обеспечения вызова экстренных оперативных служб по единому номеру «112» в  декабре 2018 года</t>
  </si>
  <si>
    <t>Перераспределение ассигнований в пределах ведомственной целевой программы департамента информатизации и связи Ярославской области  на приобретение лицензионного программного обеспечения с департамента на государственное бюджетно учреждение "Электронный регион"для приобретения 2 000 лицензий пользователей удостоверяющего центра в сумме 465,8 тыс.руб., техническую поддержку средств обеспечения удостоверяющего центра в сумме 150 тыс.руб.</t>
  </si>
  <si>
    <t>Увеличение ассигнований для обеспечения организации 5-ти рабочих мест для специалистов удостоверяющего центра (приобретение лицензий) на  сумму 234 200,00 руб.</t>
  </si>
  <si>
    <t>2019 год. Перераспределение ассигнований в сумме 6000 тыс. руб. с ОЦП "Развитие информационного общества в Ярославской области" для обеспечения бесперебойного функционирования ИС приема и обработки сообщений граждан на территории Ярославской области на ведомственную целевую программу департамента информатизации для обеспечения бесперебойного функционирования ИС приема и обработки сообщений граждан на территории Ярославской области</t>
  </si>
  <si>
    <t>2019 год. Перераспределение ассигнований в сумме 6000 тыс. руб.  на ведомственную целевую программу департамента информатизации для обеспечения бесперебойного функционирования ИС приема и обработки сообщений граждан на территории Ярославской области с ОЦП "Развитие информационного общества в Ярославской области" для обеспечения бесперебойного функционирования ИС приема и обработки сообщений граждан на территории Ярославской области</t>
  </si>
  <si>
    <t>Перераспределение ассигнований в сумме 200 000 тыс. руб. в 2018 г. за счет средств федерального бюджета, предусмотренных на ремонт улично-дорожной сети г.Рыбинска между подгруппами кодов вида расходов (с КВР 520 - субсидии на КВР 540 - иные межбюджетные трансферты) в связи с изменением формы финансовой поддержки. ДФ: поддержать</t>
  </si>
  <si>
    <t>Увеличение ассигнований для заключения договора на год на 2 558,2 тыс.руб.</t>
  </si>
  <si>
    <t>Увеличение ассигнований на восстановление ранее произведенных расходов по оплате исполнительного листа</t>
  </si>
  <si>
    <t>Увеличение ассигнований на разработку проектно-сметной документации на реставрацию и приспособление к современному использованию объекта культурного наследия "Здание Александрийского приюта" по адресу: г.Ярославль, ул.Челюскинцев, д.8</t>
  </si>
  <si>
    <t>Увеличение на содержание имущества, передаваемого в 2018 году в казну ЯО органами исполнительной власти и используемые ими</t>
  </si>
  <si>
    <t>Увеличение ассигнований на оценку имущества в целях приватизации и проведение предпродажной подготовки</t>
  </si>
  <si>
    <t>Увеличение ассигнований на демонтаж незаконно установленных рекламных конструкций</t>
  </si>
  <si>
    <t>Увеличение ассигнований для предоставления субсидии на выполнение государственного задания ГАУ "МФЦ" по статьям ФОТ в соответствии с установленными нормативами</t>
  </si>
  <si>
    <t>Увеличение  ассигнований для предоставления субсидии на выполнение государственного задания ГАУ "МФЦ" по статьям ФОТ в целях приведения средней заработной платы работников ГАУ ЯО "МФЦ" к средней заработной плате по Ярославской области с 01.09.2018</t>
  </si>
  <si>
    <t>Увеличение ассигнований для предоставления субсидии на выполнение государственного задания ГАУ "МФЦ" по статьям ФОТ для осуществления доплаты до МРОТ низкооплачиваемым сотрудникам (в случае увеличения заработной платы работников учреждения с 01.09.2018 дополнительная потребность в увеличении бюджетных ассигнований  на доплату до МРОТ составит 0,363 млн. руб.)</t>
  </si>
  <si>
    <t>Увеличение ассигнований на приведение в соответствие с установленными нормативами страховых взносов во внебюджетные фонды</t>
  </si>
  <si>
    <t xml:space="preserve">Увеличение ассигнований на оплату компенсаций  с начислениями при увольнении с гражданской службы, в связи с изменением  организационно-штатной структуры департамента </t>
  </si>
  <si>
    <t>Увеличение ассигнований на фонд оплаты труда департамента с начислениями для компенции расходов по выплатам за неиспользованный отпуск при увольнении сотрудников</t>
  </si>
  <si>
    <t>Увеличение ассигнований на оплату услуг по аттестации 9 комтьютеров, утилизации компьютерной техники  - 330 тыс. руб., аттестацию рабочих мест, диспансеризацию - 214,0 тыс. руб.. Приобретение цветного мфу - 50,0 тыс. руб., приобретение рутокен в количестве 25 ед.и лицензии на право использования СКЗИ "КриптоПро CSP" в соответствии с требованиями ФСБ России от 31.01.2014 №149/7/1/3-58 "О порядке перехода к использованию новых стандартов ЭЦП и функции хэширования" - 27,75 тыс. руб.</t>
  </si>
  <si>
    <t>Увеличение ассигнований для оплаты налога на имущество организаций за 3 квартал 2018 года</t>
  </si>
  <si>
    <t>Увеличение ассигнований на приведение в соответствие с установленными нормативами страховых взносов во внебюджетные фонды по подведомственным учреждениям  Правительства области</t>
  </si>
  <si>
    <t>Увеличение и перераспределение ассигнований из расчета нормативных затрат согласно Методике распределения субвенции на реализацию отдельных полномочий в сфере законодательства об административных правонарушениях</t>
  </si>
  <si>
    <t>Перераспределение ассигнований на муниципальные образования с целью обеспечения перевода в электронный вид актовых книг (оплаты труда по операторскому вводу записей актов гражданского состояния и организации дополнительных рабочих мест) в связи с увеличением штатной численности органов ЗАГС муниципальных образований в рамках работы по формированию ФГИС «ЕГР ЗАГС».</t>
  </si>
  <si>
    <t>Увеличение ассигнований на выполнение федеральных полномочий по государственной регистрации актов гражданского состояния</t>
  </si>
  <si>
    <t>Перераспределениеассигнований на исполнение судебных издержек по исполнительным листам</t>
  </si>
  <si>
    <t>Увеличение ассигнований на предоставлении субсидии религиозной организации для оборудования котельной в Успенском соборе г. Ростова Великого</t>
  </si>
  <si>
    <t>Увеличение ассигнований в связи с доведением до бюджета области бюджетных назанчений на охранение объекта культурного наследия федерального значения "Церковь Богоявления на Острове" в д. Хопылёво Рыбинского района Ярославской области</t>
  </si>
  <si>
    <t xml:space="preserve">Увеличение ассигнований на приобретение запасных частей для автомобилей в связи с погашением кредиторской задолженности 2017 года за счет средств 2018 года и увеличением потребности </t>
  </si>
  <si>
    <t>Увеличение ассигнований в Ассоциацию межрегионального социально-экономического взаимодействия "Центральный Федеральный Округ"</t>
  </si>
  <si>
    <t>Увеличение ассигнований для возмещения расходов на оплату найма жилого помещения  зам. директору департамента</t>
  </si>
  <si>
    <t>Увеличение ассигнований на выплату материальной помощи на погребение</t>
  </si>
  <si>
    <t>Увеличение ассигнований на выплату компенсаций госслужащим при сокращении в связи с реорганизацией департамента</t>
  </si>
  <si>
    <t>Перераспределение ассигнований между видами расходов на приобретение оргтехники</t>
  </si>
  <si>
    <t xml:space="preserve">Увеличение ассигнований , в т.ч. 20,160 тыс.руб. - на обслуживание средств связи и предоставление в пользование места в кабельной канализации, 96,475 тыс.руб.- на  защиту гостайны и защиту информации Криптопро (5 лицензий, 324 тыс.руб. - обустройство спецпомещения для секретного делопроизводства в соответствии с Распоряжением Губернатора ЯО от 26.01.2011 № 5-2р, 36 тыс.руб. - на повышение квалификации сотрудников департамента, 24 тыс.руб. - на приобретение канцтоваров, 75 тыс.руб. - на приобретение антивируса Касперского;  85 тыс.руб. - на ремонт вычислительной техники и заправку картриджей, 152 тыс.руб. - на актуализацию модели угроз, проведение инструментального анализа, 258,8 тыс.руб. - на приобретение межсетевого экрана для защиты локальной сети от внешних угрозVipNet Coordinator HW 1000  </t>
  </si>
  <si>
    <t>Уменьшение ассигнований за счет средств экономии, образовавшейся в результате проведения конкурсных процедур</t>
  </si>
  <si>
    <t>Увеличение ассигнований на оплату служебных командировок (планируются командировки в Армению, Гессен, Крым, Индию)</t>
  </si>
  <si>
    <t>Перераспределение ассигнований между видами расходов, в том числе 52 тыс.руб. - на оплату налога на имущество за 2 и 3 кв., 48,6 тыс.руб. - на оплату транспортного налога за 2 и 3 кв. и госпошлины за регистрацию 3 автомобилей</t>
  </si>
  <si>
    <t>Увеличение ассигнований на уплату страховых взносов во внебюджетные фонды</t>
  </si>
  <si>
    <t>Перераспределение ассигнований с КВР 850 на КВР 120 на оплату проживания в служебной командировке</t>
  </si>
  <si>
    <r>
      <t xml:space="preserve">Увеличение ассигнований на ФОТ в связи с увеличением численности помощников мировых судей на 10 ед. с 01.01.2018. </t>
    </r>
    <r>
      <rPr>
        <b/>
        <sz val="10"/>
        <color theme="1"/>
        <rFont val="Times New Roman"/>
        <family val="1"/>
        <charset val="204"/>
      </rPr>
      <t xml:space="preserve">Аналогичные расходы предусмотреть в 2019-2020 годах </t>
    </r>
  </si>
  <si>
    <t>Увеличение ассигнований на оплату страховых взносов во внебюджетные фонды</t>
  </si>
  <si>
    <t>Увеличение ассигнований в соответствии с утвержденным ФОТ</t>
  </si>
  <si>
    <t xml:space="preserve">Увеличение ассигнований  на оплату найма жилья руководителю </t>
  </si>
  <si>
    <t xml:space="preserve">Перераспределение ассигнований 73 тыс. руб. на организацию выплат в связи с присвоением почетного звания "Почетный гражданин Ярославской области и             20 тыс. руб. к Международному дню пожилых людей </t>
  </si>
  <si>
    <t>Увеличение ассигнований   на  МРОТ с 01 мая 2018 года, в т.ч. ГБУ 938,9 т.р., ГКУ 599,7 т.р., МУ СО 551,2 т.р. Согласно уточненного расчета</t>
  </si>
  <si>
    <t>Ассигнования запланированы больше уровня 2017 года без расходов на погашение кредиторской задолженности</t>
  </si>
  <si>
    <t>Увеличение ассигнований  для оплаты пени и судебных издержек по исполнительным листам 
Перераспределение ассигнований для оплаты пени по исполнительным листам с ведомственной целевой программы департамента</t>
  </si>
  <si>
    <t>Перераспределение ассигнований между подразделами для обеспечения участия в соревнованиях</t>
  </si>
  <si>
    <t>Увеличение ассигнований для приведения в соответствие с установленными нормативами ФОТ с начислениями</t>
  </si>
  <si>
    <t>Увеличение ассигнований за счет перераспределения с департамента общественных связей ЯО в связи с экономией расходов на оплату труда работников Общественной палаты на содержание аппарата Общественной палаты (приобретение канцелярских товаров)</t>
  </si>
  <si>
    <t xml:space="preserve">Уменьшение бюджетных ассигнований  в связи с нецелесообразностью проведения конкурса на предоставление субсидий субъектам деятельности в сфере промышленности ЯО из-за недостаточного остатка средств после уплаты кредиторской задолженности прошлого года
</t>
  </si>
  <si>
    <t>Увеличение ассигнований на ФОТ в связи с увеличением МРОТ с 01.05.2018</t>
  </si>
  <si>
    <t>Иные закупки товаров, работ и услуг для обеспечения государственных (муниципальных) нужд</t>
  </si>
  <si>
    <t xml:space="preserve"> Бюджетные инвестиции 
</t>
  </si>
  <si>
    <t xml:space="preserve">Перераспределение ассигнований в рамках ВЦП между мероприятиями программы (с безопасности дорожного движения на содержание автомобильных дорог)    </t>
  </si>
  <si>
    <t xml:space="preserve">Перераспределение ассигнований  2019 г. в сумме 36 010,35 тыс. руб.с ремонта а/д ЯО (Сергиев-Посад-Калязин-Рыбинск-Череповец 1 этап) на ОЦП "Устойчивое развитие сельских территорий" на строительство и реконструкцию дорог в части софинансирования с ФБ </t>
  </si>
  <si>
    <r>
      <t xml:space="preserve">Перераспределение ассигнований в сумме 1 106,3 тыс. руб. за счет средств ОБ, в сумме 7 003,3 тыс. руб. - средства ОБ для софинансирования с ФБ между элементами видов расходов для приведения в соответствие с бюджетной классификацией. Перераспределение ассигнований в сумме 17 145,9 тыс. руб. </t>
    </r>
    <r>
      <rPr>
        <b/>
        <sz val="10"/>
        <color theme="1"/>
        <rFont val="Times New Roman"/>
        <family val="1"/>
        <charset val="204"/>
      </rPr>
      <t>за счет средств ФБ</t>
    </r>
    <r>
      <rPr>
        <sz val="10"/>
        <color theme="1"/>
        <rFont val="Times New Roman"/>
        <family val="1"/>
        <charset val="204"/>
      </rPr>
      <t xml:space="preserve"> между элементами видов расходов для приведения в соответствие с бюджетной классификацией.</t>
    </r>
  </si>
  <si>
    <t>Перераспределение ассигнований с субсидии на реализацию мероприятий по строительству объектов газификации (983,5 тыс.рублей на строительство блочно-модульной газовой котельной мкр. "Сельхозтехника" с. Большое Село для завершения работ по м/контракту 2017 года)</t>
  </si>
  <si>
    <t xml:space="preserve">Увеличение ассигнований для обеспечения годовой потребности </t>
  </si>
  <si>
    <r>
      <t xml:space="preserve">Уменьшение ассигнований по ведомственной программе в связи с переносом сроков приобретения программного обеспечения с использованием Web-технологий на 2019 год
</t>
    </r>
    <r>
      <rPr>
        <b/>
        <sz val="10"/>
        <color theme="1"/>
        <rFont val="Times New Roman"/>
        <family val="1"/>
        <charset val="204"/>
      </rPr>
      <t xml:space="preserve">Увеличение ассигнований в 2019 году на 30 450 тыс. руб., в 2020 году на 17 700 тыс. руб.в связи с приобретением программного обеспечения с использованием Web-технологий </t>
    </r>
  </si>
  <si>
    <t xml:space="preserve">Увеличение ассигнований на установку защиты информации на 2 компьютера </t>
  </si>
  <si>
    <t xml:space="preserve">Увеличение ассигнований в сумме 15 000 тыс. руб. с целью обеспечения годовой потребности в субсидии </t>
  </si>
  <si>
    <t>Перераспределение ассигнований 2019 г. в рамках ОЦП с мероприятия  "Строительство и реконструкция автомобильных дорог регионального значения и искусственных сооружений на них" сумме 276 802,00 тыс. руб. (с реконструкции а/д Говырино-Дмитриевское-Нагорье в Переславском МР в сумме 159 747,00 тыс. руб., с реконструкции а/д Рязанцево-Горки, км 4+700 - км 8+400 в Переславском МР в сумме 117 055,00 тыс.руб.) на реконструкцию мостового перехода через реку Кондру на а/д Глебовское-Тарантаево, км 1+802, в Ярославском МР в сумме 45 000,00 тыс. руб., на проектно-изыскательные работы в сумме 5 000,00 тыс. руб.; на  ОЦП "Устойчивое развитие сельских территорий" на строительство и реконструкцию дорог в части софинансирования с ФБ  в сумме 226 802,00 руб.</t>
  </si>
  <si>
    <t>Перераспределение ассигнований 2019 в сумме 262 812,35 тыс. руб. с ВЦП "Сохранность региональных автомобильных дорог Ярославской области" в сумме 36 010,35 тыс. руб. и с ОЦП "Развитие сети автомобильных дорог в Ярославской области"в сумме 226 802,00 тыс. руб.на строительство и реконструкцию дорог в части софинансирования с ФБ  (1. Автомобильная дорога Рязанцево-Горки,км 4+700- км 8+400 в Переславском муниципальном районе Ярославской области;  2. Автомобильная дорога Дмитрехово-Малый Липовец-Ляховые в Брейтовском муниципальном районе Ярославской области (1 этап);  3. Автомобильная дорога Климовское- Ананьево- Волково в Ярославском муниципальном районе Ярославской области (1 этап); 4. Автомобильная дорога Плоски - Прилуки в Угличском  муниципальном районе Ярославской области)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</si>
  <si>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</si>
  <si>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Перераспределение ассигнований в рамках программы  с прочих расходов в сумме 2 465,00 тыс. руб., с земельного налога  в сумме 800,00 тыс. руб. на начисления по оплате труда в рамках сметы ГКУЯО  "Ярдорслужба"</t>
  </si>
  <si>
    <t>Перераспределение ассигнований с  ОЦП "Развитие сети автомобильных дорог в Ярославской области"с проектно-изыскательных работ на разработку рабочих проектов и проектно-сметной документации по капитальному ремонту, ремонту и содержанию автомобильных дорог в сумме 1 000,00 тыс. руб. и на содержание автомобильных дорог в сумме 9 500,00 руб. Перераспределение ассигнований в рамках программы по смете ГКУ ЯО "Ярдорслужба"  в сумме 2 465,00 тыс. руб. с прочих расходов на начисления по оплате труда</t>
  </si>
  <si>
    <t>Перераспределение ассигнований в рамках программы в сумме 800,00 тыс. руб. по смете ГКУ ЯО "Ярдорслужба" с земельного налога на начисления по оплате труда</t>
  </si>
  <si>
    <t>Увеличение ассигнований в сумме 1 421,4 тыс. руб.  с целью возмещения кредиторской задолженности 2017 года  ГКУ ЯО "Центр управления жилищно-коммунальным комплексом Ярославской области"
Уменьшение ассигнований в сумме 171,2 тыс. руб. в связи с экономией по результатам торгов</t>
  </si>
  <si>
    <t>Уменьшение ассигнований по итогам проведения конкурсных процедур при заключении контрактов</t>
  </si>
  <si>
    <t>Субвенция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за счет средств федерального бюджета</t>
  </si>
  <si>
    <t>Увеличение ассигнований в целях погашения просроченной кредиторской задолженности, образовавшейся по состоянию на 01.01.2018  (начисления на оплату труда) 1 178 т.р.                                                                                                                                                                                   Уменьшение по итогам проведения конкурсных процедур - 1538,3 т.р.                                                                                                             Перераспределение между КВР                                                                                                                                                                                                                                                                                                                                                                                                                              (Узаконить ув.от 22.06.2018 № 909/01/105 +/- 8,075 тыс.руб..,от 13.07.2018 № 909/10/116 +/-76,473 тыс.руб.., от 26.03.2018 № 909/04/36 +/-  тыс.руб..,от 26.04.2018 № 909/01/48 +/- 5,6 тыс.руб.)</t>
  </si>
  <si>
    <t xml:space="preserve">Увеличение ассигнований  для проведения Всероссийского фестиваля телевизионных программ «Золотое кольцо России» (инициатива поддержана Губернатором Ярославской области Д.Ю. Мироновым) и  на проведение совместно с Министерством культуры РФ стратегического семинара по развитию туристского маршрута «Золотое кольцо» с участием федеральных отраслевых экспертов </t>
  </si>
  <si>
    <t>Уменьшение ассигнований в сумме 50,00 тыс. руб. в результате экономии при проведении закупочных процедур. Перераспределение ассигнований в рамках программы в сумме 400,00 тыс. руб. между мероприятиями программы</t>
  </si>
  <si>
    <t>Увеличение асигнований на дотацию на реализацию мероприятий, предусмотренных нормативно-правовыми актами органов государственной власти Ярославской области</t>
  </si>
  <si>
    <t>Перераспределение ассигнований с ОЦП "Развитие АПК ЯО" в связи с увеличением проводимых анализов пищевых продуктов по запросу Общества защиты прав потребителей</t>
  </si>
  <si>
    <t xml:space="preserve">Увеличение ассигнований 4 421,0 тыс. руб.  в целях погашения просроченной кредиторской задолженности, образовавшейся по состоянию на 01.01.2018 ( начисления на оплату труда), 816,0 тыс. руб. на прочие расходы учреждений (питание, коммунальные расходы, налоги)                                                                                                   Уменьшение по итогам проведения конкурсных процедур - 1 371,3 тыс.руб.                                                                                                                                                                           Перераспределение между КВР                                                                                                                                                                                                                                                                                                                                                                                                                               (Узаконить ув. от 01.06.2018 № 909/01/97 +/- 17,420 тыс.руб..,от 08.06.2018 № 909/01/102 +/- 104,741 тыс.руб..,от 24.05.2018 № 909/01/53 +/- 50,0 тыс.руб..,от 05.06.2018 № 909/01/101 +/- 28,4 тыс.руб..,от 08.06.2018 № 909/01/96 +/- 11,0 тыс.руб.., от 15.06.2018 № 909/01/103 +/-  13,415 тыс.руб..,от 23.07.2018 № 909/10/117 +/-  92,821 тыс.руб..,от 06.08.2018 № 909/10/122 +/- 79,579 тыс.руб..) </t>
  </si>
  <si>
    <t xml:space="preserve">Перераспределение ассигнований между МР  в связи с изменением количества получателей (заявительный характер) (федеральные средства)                                                                                                                                                                                                                                                                                                                                                                                                                                                                                                                                                                                                                                                                                                                                                                                                                                                                                                                                                                                                            .08.2018 № 909/10/129 +/- 294,920 тыс. руб.) </t>
  </si>
  <si>
    <t>Празднование Нового 2019 года  - Новогодняя ночь на Советской площади</t>
  </si>
  <si>
    <t xml:space="preserve">Субвенция на реализацию полномочий в части регулирования численности безнадзорных животных </t>
  </si>
  <si>
    <t xml:space="preserve">Перераспределение ассигнований:
259,7 тыс. руб.  между задачами программы в связи с увеличением объемов оформления ветеринарных сопроводительных документов при переходе с 01.07.2018 г. на полный документооборот в электронном виде;
89,6 тыс. руб. между задачами программы и муниципальными районами, из них 7 тыс.руб. - в связи с необходимостью прохождения экспертизы сметного расчета на проведение работ по организации скотомогильников, 82,6 тыс. руб. - в связи с увеличением заявок на отлов безнадзорных животных. </t>
  </si>
  <si>
    <t xml:space="preserve">Увеличение ассигнований за счет предоставления субсидии из резервного фонда Правительства РФ на завершение реализации объекта в соостветствии с распоряжением Правительства №1351-р от 03.07.2018 для завершения строительства объекта «Берегоукрепление правого берега р. Волга. Ярославская область, г. Рыбинск, участок от «Обелиска» до ДС «Полет». Этап 1 – берегоукрепительные работы (устройство берегоукрепительного сооружения)» 
</t>
  </si>
  <si>
    <t xml:space="preserve">Увеличение ассигнований в сумме 334 368,4 тыс. руб. с целью обеспечения  потребности в субсидии </t>
  </si>
  <si>
    <t xml:space="preserve">Увеличение ассигнований для обеспечения  потребности </t>
  </si>
  <si>
    <t>Уменьшение ассигнований в связи с отсутствием потребности</t>
  </si>
  <si>
    <t>Увеличение ассигновений в связи с увеличением дефицита областного бюджета. Уменьшение ассигнований в связи с  экономией по конкурсным процедурам.</t>
  </si>
  <si>
    <t>Увеличение уставного капитала открытого акционерного общества "Аэропорт Туношна"</t>
  </si>
  <si>
    <t>Переселение граждан из жилищного фонда, признанного непригодным для проживания, и (или) жилищного фонда с высоким уровнем износа</t>
  </si>
  <si>
    <t>Потребность в средствах на 2019 год в размере 12 040,8 тыс. руб.  на расселение жилищного фонда, признанного непригодным для проживания  (аварийного дома в Борисоглебском МР, пос. Красный Октябрь)</t>
  </si>
  <si>
    <t>Уменьшение ассигнований в 2019 году на сумму 2 898,407 тыс. руб. в результате уменьшения федерального субсидирования программы Адресная финансовая поддержка спортивных организаций, осуществляющих подготовку спортивного резерва для сборных команд Российской Федерации</t>
  </si>
  <si>
    <t>Увеличение ассигнований :
2 805, 463 тыс.руб.- потребность на выплату заработной платы до конца года;
55,195 тыс. руб.-оплата по исполнительному листу (детсад "Искра Октября");
882,68 тыс. руб.-потребность  на оплату  налогов;
10 руб.- перераспределение для оплаты пененй Ростелеком.</t>
  </si>
  <si>
    <t>Уменьшение ассигнований по результатам торгово-закупочных процедур в сумме 1 430,8 тыс. рублей
Перераспределение ассигнований в сумме 10 340,5 тыс. рублей, в том числе 10 000 тыс. руб. для завершения работ по объекту "Строительство газопровода высокого давления с. Туношна –  дер. Воробино Ярославского МР",  340,5 тыс. руб. для проведения испытаний газопровода в с. Купанское Переславского МР и обеспечения ввода в эксплуатацию</t>
  </si>
  <si>
    <t>Увеличение ассигнований по субвенции на обеспечение деятельности органов местного самоуправления в сфере социальной защиты на расходы, связанные с объединением муниципальных образований и проведением ликвидационных мероприятий (706,4 тыс.руб.), информационное обеспечение (770 тыс.руб.), оплату труда и страховые взносы во внебюджетные фонды (2234,6 тыс.руб.)</t>
  </si>
  <si>
    <t>Увеличение ассигнований на обеспечение деятельности государственного казенного учреждения "Безопасный регион" в связи с увеличением минимального размера оплаты труда с 01.05.2018, изменениями организационно-штатной структуры  с 01.10.2018, на страховые взносы во внебюджетные фонды</t>
  </si>
  <si>
    <t>Увеличение ассигнований на услуги связи, услуги по охране передвижных аппаратно-программых комплексов фото-, видеофиксации нарушений правил дорожного движения</t>
  </si>
  <si>
    <t>Увеличение ассигнований в связи с повышением минимального размера оплаты труда с 01.05.2018, организационно-штатными мероприятими, связанные с созданием  системы обеспечения вызова экстренных оперативных служб через единый номер "112"</t>
  </si>
  <si>
    <t>Увеличение ассигнований на обеспечение деятельности государственного бюджетного учреждения Ярославской области "Пожарно-спасательная служба Ярославской области" (приобретение ГСМ, медицинский осмотр, обучение водолазов по программе основ газоспасательных работ, приобретение инвентаря, обязательное страхование личного состава, приобретение продуктов питания, запчастей для автомобилей и оборудования,   медикаментов)</t>
  </si>
  <si>
    <t>Увеличение ассигнований на обеспечение деятельности системы вызова экстренных оперативных служб по единому номеру "112"</t>
  </si>
  <si>
    <t>Увеличение ассигнований в связи с повышением минимального размера оплаты труда с 01.05.2018</t>
  </si>
  <si>
    <t>Перераспределение ассигнований  с ведомственной целевой программы департамента информатизации и связи Ярославской области на областную целевую программу "Развитие информационного общества Ярославской области" на создание медицинских информационных систем</t>
  </si>
  <si>
    <t xml:space="preserve">Увеличение ассигнований ГБУ "Электронный регион" на приведение в соответствие с установленными нормативами фонда оплаты труда и страховых взносов </t>
  </si>
  <si>
    <t xml:space="preserve">Увеличение ассигнований  государственному казенному учреждению "Центр координации информатизации"  на приведение в соответствие с установленными нормативами фонда оплаты труда и страховых взносов </t>
  </si>
  <si>
    <t>Перераспределение ассигнований  с ведомственной целевой программы департамента информатизации и связи Ярославской области на создание медицинских информационных систем</t>
  </si>
  <si>
    <t>Перераспределение ассигнований на ОЦП "Развитие информационного общества в Ярославской области" с ведомственной целевой программы департамента информатизации и связи Ярославской области в целях приобретения дисковых массивов для расширения емкости хранилища данных ЦОД Правительства Ярославской области</t>
  </si>
  <si>
    <t xml:space="preserve">Увеличение ассигнований на обеспечение деятельности  ГБУ ЯО "Центр кадастровой оценки, рекламы и торгов" в целях проведения государственной кадастровой оценки </t>
  </si>
  <si>
    <t xml:space="preserve">Увеличение ассигнований на обеспечение деятельности по смете расходов  департамента (услуги связи, услуги в области информационных технологий, диспансеризация сотрудников) </t>
  </si>
  <si>
    <t>Увеличение ассигнований на обеспечение деятельности по смете расходов департамента</t>
  </si>
  <si>
    <t>Перераспределение ассигнований между кодами целевых статей</t>
  </si>
  <si>
    <t xml:space="preserve">Увеличение ассигнований по смете расходов инспекции на оплату услуг связи, приобретение спецпродукции; обслуживание программ отдела гостехнадзора; ремонт автотранспорта </t>
  </si>
  <si>
    <t>Увеличение ассигнований по смете расходов агентства на услуги связи, командировочные расходы и повышение квалификации мировых судей</t>
  </si>
  <si>
    <t>Уменьшение ассигнований 15 тыс.руб. по результатам проведения конкурсных процедур. Перераспределение ассигнований 400 тыс.руб. между КВР на проведение областного смотра-конкурса "За равные возможности" среди пред-тий, примен.труд инвал"(Узаконить ув.от 29.05.2018 № 909/01/87)</t>
  </si>
  <si>
    <t xml:space="preserve">Уменьшение ассигнований:
- 37767,7 тыс. руб. на субсидирование процентных ставок по краткосрочным кредитам, исполнение обязательств по которым прекращено с участием федерального бюджета с мая 2018 года;
- 32990,8 тыс. руб. на невосстребованную долю областного бюджета в связи с недополучением средств из федерального бюджета по субсидии на возмещение части процентной ставки по инвестиционным кредитам.
Перераспределение ассигнований между целевыми статьями и видами расходов:
- 9583 тыс.руб. - в целях соблюдения уровня софинансирования с федеральным бюджетом (дополнительно будет привлечено 23461,8 тыс.руб.);
- 8000 тыс.руб. - на увеличение государственного задания ГОАУ ИКС АПК ЯО для участия Ярославской области в выставке "Золотая осень";
- 1000 тыс.руб. - на увеличение государственного задания институту качества для проведения дополнительных анализов пищевых продуктов по запросу. </t>
  </si>
  <si>
    <t xml:space="preserve">Увеличение ассигнований ГАУК ЯО "Культурно-просветительский центр им. В.В. Терешковой" для замены оборудования звездного зала в связи с его техническим состоянием. </t>
  </si>
  <si>
    <t>обсл госдолга</t>
  </si>
  <si>
    <t>Погашение кредиторской задолженности</t>
  </si>
  <si>
    <t>МРОТ</t>
  </si>
  <si>
    <t>ФОТ</t>
  </si>
  <si>
    <t>Указы</t>
  </si>
  <si>
    <t>Увеличение ассигнований в сумме 58 926 тыс. руб. с целью обеспечения годовой потребности субвенции на оплату жилого помещения и коммунальных услуг отдельным категориям граждан, оказание мер социальной поддержки которым относится к полномочиям Ярославской области</t>
  </si>
  <si>
    <t>ИТОГО</t>
  </si>
  <si>
    <t>Увеличение ассигнований в связи с повышением минимального размера оплаты труда с 01.05.2018, организационно-штатными мероприятими, связанными с созданием  системы обеспечения вызова экстренных оперативных служб через единый номер "112"</t>
  </si>
  <si>
    <t>Увеличение бюджетных ассигнований на приобретение компьютерной техники для новых сотрудников в связи с передачей полномочий</t>
  </si>
  <si>
    <t>Увеличение ассигнований на командировочные расходы, возмещение расходов на оплату найма жилого помещения</t>
  </si>
  <si>
    <t>Увеличение ассигнований по смете расходов департамента</t>
  </si>
  <si>
    <t xml:space="preserve">Увеличение ассигнований  для оплаты пени и судебных издержек по исполнительным листам 
</t>
  </si>
  <si>
    <t xml:space="preserve">Пояснения </t>
  </si>
  <si>
    <t xml:space="preserve">Увеличение ассигнований на погашение кредиторской задолженности </t>
  </si>
  <si>
    <t xml:space="preserve">Увеличение ассигнований в целях погашения кредиторской задолженности </t>
  </si>
  <si>
    <t xml:space="preserve">Увеличение ассигнований с целью обеспечения софинансирования гранта в форме субсидии за счет средств федерального бюджета ГПОАУ ЯО "Ярославский педагогический колледж" </t>
  </si>
  <si>
    <t xml:space="preserve">Увеличение ассигнований в объеме средств, направленных на погашение кредиторской задолженности за 2017 год </t>
  </si>
  <si>
    <t>Увеличение  ассигнований на финансовое обеспечение выполнения государственного задания</t>
  </si>
  <si>
    <t xml:space="preserve">Уменьшение ассигнований по итогам проведения конкурсных процедур </t>
  </si>
  <si>
    <t>Уменьшение ассигнований по результатам проведения конкурсных процедур</t>
  </si>
  <si>
    <t xml:space="preserve">Увеличение ассигнований в связи с увеличением количества обращений граждан, в том числе пострадавших в результате  чрезвычайных ситуаций (пожаров)  </t>
  </si>
  <si>
    <t xml:space="preserve">Увеличение ассигнований в связи с увеличением количества получателей и соблюдения условий софинансирования с федеральным бюджетом                                                                                                                                                                                                                                                                                                                                                                                                                                                                                                                                                                                              </t>
  </si>
  <si>
    <t xml:space="preserve">Увеличение ассигнований в целях погашения просроченной кредиторской задолженности, образовавшейся по состоянию на 01.01.2018. Уменьшение ассигнований по итогам проведения конкурсных процедур                                                                                                      </t>
  </si>
  <si>
    <t xml:space="preserve">Увеличение ассигнований на погашение  просроченной кредиторской задолженности, образовавшейся по состоянию на 01.01.2018 </t>
  </si>
  <si>
    <t>Увеличение ассигнований в связи ликвидацией СРЦ "Родник"</t>
  </si>
  <si>
    <t xml:space="preserve">Увеличение ассигнований  на оказание адресной материальной помощи семьям, находящимся в трудной жизненной ситуации, воспитывающим несовершеннолетних детей, в связи с увеличением числа обращений граждан </t>
  </si>
  <si>
    <t>Увеличение ассигнований  из федерального бюджета</t>
  </si>
  <si>
    <t xml:space="preserve">Увеличение ассигнований для оплаты начислений на фонд оплаты труда  </t>
  </si>
  <si>
    <t>Увеличение ассигнований на обеспечение деятельности государственного казенного учреждения "Безопасный регион" в связи с увеличением минимального размера оплаты труда с 01.05.2018, изменениями организационно-штатной структуры  с 01.10.2018</t>
  </si>
  <si>
    <t>Увеличение ассигнований на оплату услуг связи, услуг по охране передвижных аппаратно-программых комплексов фото-, видеофиксации нарушений правил дорожного движения</t>
  </si>
  <si>
    <t>Увеличение ассигнований на обеспечение деятельности государственного бюджетного учреждения Ярославской области "Пожарно-спасательная служба Ярославской области"</t>
  </si>
  <si>
    <t xml:space="preserve">Увеличение ассигнований в связи с изменением размера субсидии из федерального бюджета на поддержку творческой деятельности и техническое оснащение детских и кукольных театров </t>
  </si>
  <si>
    <t>Увеличение ассигнований ГАУК ЯО "Культурно-просветительский центр им. В.В. Терешковой" для замены оборудования звездного зала в связи с его техническим состоянием</t>
  </si>
  <si>
    <t xml:space="preserve">Увеличение ассигнований с целью обеспечения  потребности в субсидии </t>
  </si>
  <si>
    <t>Уменьшение ассигнований в связи с уточнением потребности</t>
  </si>
  <si>
    <t xml:space="preserve">Уменьшение ассигнований в связи с уточнением уровня софинансирования средств федерального бюджета по субсидии на возмещение части процентной ставки по инвестиционным кредитам
</t>
  </si>
  <si>
    <t>Уменьшение ассигнований по итогам проведения конкурсных процедур, а также приведением в соответствие уровня софинансирования из областного бюджета</t>
  </si>
  <si>
    <t xml:space="preserve">Уменьшение ассигнований в связи с отсутствием потребности
</t>
  </si>
  <si>
    <t>Увеличение ассигновений в связи с увеличением дефицита областного бюджета. Уменьшение ассигнований в связи с  экономией по конкурсным процедурам</t>
  </si>
  <si>
    <t>Увеличение ассигнований на обеспечение деятельности государственного казенного учреждения "Центр конкурентной политики и мониторинга"</t>
  </si>
  <si>
    <t xml:space="preserve">Увеличение ассигнований на обеспечение деятельности по смете расходов  департамента </t>
  </si>
  <si>
    <t xml:space="preserve">Увеличение ассигнований на оплату по гражданско-правовым договорам с экспертами на привлечение к проведению аккредитационной экспертизы </t>
  </si>
  <si>
    <t>Увеличение ассигнований с целью оплаты денежных взысканий</t>
  </si>
  <si>
    <t xml:space="preserve">Увеличение бюджетных ассигнований на возмещение расходов на оплату найма жилого помещения </t>
  </si>
  <si>
    <t>Увеличение ассигнований из федерального бюджета по объекту культурного наследия федерального значения "Церковь Богоявления на Острове" в д. Хопылёво Рыбинского района Ярославской области</t>
  </si>
  <si>
    <t xml:space="preserve">Увеличение ассигнований ГКУ ЯО "Государственный архив" на арендную плату </t>
  </si>
  <si>
    <t xml:space="preserve">Увеличение ассигнований для возмещения расходов на оплату найма жилого помещения </t>
  </si>
  <si>
    <t xml:space="preserve">Увеличение ассигнований на возмещение расходов на оплату найма жилого помещения ,  выплату пособий по уходу за ребенком до 3-х лет, командировочные расходы </t>
  </si>
  <si>
    <t>Уменьшение ассигнований в связи с экономией расходов на оплату труда</t>
  </si>
  <si>
    <t xml:space="preserve">Увеличение ассигнований на закупку карты для мониторинга ЧС на территории области, обучение сотрудников  по управлению государственными и муниципальными закупками  </t>
  </si>
  <si>
    <t xml:space="preserve">Увеличение ассигнований в связи с индексацией МРОТ </t>
  </si>
  <si>
    <t xml:space="preserve">Увеличение ассигнований  на оплату найма жилья </t>
  </si>
  <si>
    <t>02.5</t>
  </si>
  <si>
    <t>05.1</t>
  </si>
  <si>
    <t xml:space="preserve">Содержание центров занятости </t>
  </si>
  <si>
    <t xml:space="preserve">Субсидия на выполнение государственного задания ГБУ ЯО "Пожарно-спасательная служба области" </t>
  </si>
  <si>
    <t>Субсидия на финансовое обеспечение выполнения государственного задания</t>
  </si>
  <si>
    <t>24.4</t>
  </si>
  <si>
    <t>36.8</t>
  </si>
  <si>
    <t>Субсидия  Адвокатской палате Ярославской области</t>
  </si>
  <si>
    <r>
      <t>Субвенция на ежемесячную денежную выплату, назначаемую при рождении третьего ребенка или последующих детей до достижения ребенком возраста трех лет</t>
    </r>
    <r>
      <rPr>
        <b/>
        <sz val="10"/>
        <rFont val="Times New Roman"/>
        <family val="1"/>
        <charset val="204"/>
      </rPr>
      <t xml:space="preserve"> </t>
    </r>
  </si>
  <si>
    <t>Субсидия на реализацию мероприятий по строительству и реконструкции объектов берегоукрепления</t>
  </si>
  <si>
    <t xml:space="preserve">Увеличение ассигнований для обеспечения потребности </t>
  </si>
  <si>
    <t xml:space="preserve">Увеличение ассигнований на выполнение государственного задания государственными учреждениями культуры </t>
  </si>
  <si>
    <t>Увеличение ассигнований в связи с уточнением расходов по деятельности департамента</t>
  </si>
  <si>
    <t>Увеличение ассигнований на приобретение автомобиля в Ярославскую школу-интернат для детей-сирот № 6</t>
  </si>
  <si>
    <t>Реализация мероприятий по строительству и реконструкции объектов водоснабжения и водоотведения</t>
  </si>
  <si>
    <t>Увеличение ассигнований на оценку имущества в целях приватизации и проведение предпродажной подготовки - 1 500,00 тыс. руб.; содержание имущества - 1 136,4 тыс. руб.</t>
  </si>
  <si>
    <t>Увеличение ассигнований для оплаты налога на имущество</t>
  </si>
  <si>
    <t>Ведомственная целевая программа "Реализация государственной молодежной политики в Ярославской области"</t>
  </si>
  <si>
    <t>Областная целевая программа "Создание системы обеспечения вызова экстренных оперативных служб по единому номеру "112" на базе единых дежурно-диспетчерских служб муниципальных образований в Ярославской области"</t>
  </si>
  <si>
    <t>Региональная программа "Развитие водохозяйственного комплекса Ярославской области в 2013 – 2020 годах"</t>
  </si>
  <si>
    <t>Государственная программа "Обеспечение качественными коммунальными услугами населения Ярославской области"</t>
  </si>
  <si>
    <t>Региональная программа "Развитие водоснабжения и водоотведения Ярославской области"</t>
  </si>
  <si>
    <t>Ведомственная целевая программа департамента жилищно-коммунального хозяйства, энергетики и регулирования тарифов Ярославской области</t>
  </si>
  <si>
    <t>Региональная программа "Газификация и модернизация жилищно-коммунального хозяйства, промышленных и иных организаций Ярославской области"</t>
  </si>
  <si>
    <t>Государственная программа "Экономическое развитие и инновационная экономика в Ярославской области"</t>
  </si>
  <si>
    <t>Ведомственная целевая программа департамента инвестиций и промышленности Ярославской области</t>
  </si>
  <si>
    <t>Государственная программа "Развитие промышленности в Ярославской области и повышение ее конкурентоспособности"</t>
  </si>
  <si>
    <t>Ведомственная целевая программа департамента информатизации и связи Ярославской области</t>
  </si>
  <si>
    <t>Государственная программа "Развитие сельского хозяйства в Ярославской области"</t>
  </si>
  <si>
    <t>Ведомственная целевая программа департамента финансов Ярославской области</t>
  </si>
  <si>
    <t>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t>
  </si>
  <si>
    <t>Ведомственная целевая программа "Обеспечение функционирования многофункционального центра предоставления государственных и муниципальных услуг"</t>
  </si>
  <si>
    <t>Увеличение ассигнований в соответствии с распоряжением Правительства Российской Федерации от 14.07.2018 № 1464-р  на финансовое обеспечение оказания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</si>
  <si>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Увеличение ассигнований на финансовое обеспечение государственного задания</t>
  </si>
  <si>
    <t xml:space="preserve">Увеличение ассигнований на реализацию указов Президента РФ </t>
  </si>
  <si>
    <t>Увеличение ассигнований на реализацию указов Президента РФ, в том числе в связи с индексацией МРОТ</t>
  </si>
  <si>
    <t>Увеличение ассигнований в связи с повышением размера родительской платы в 16 муниципальных образованиях с 01.01.2018, в одном муниципальном образовании с 01.07.2018, а также в связи с увеличением контингента воспитанников</t>
  </si>
  <si>
    <t>Увеличение ассигнований с целью обеспечения годовой потребности</t>
  </si>
  <si>
    <t>Увеличение ассигнований на расходы, связанные с объединением муниципальных образований и проведением ликвидационных мероприятий (706,4 тыс.руб.), информационным обеспечением (770 тыс.руб.), оплатой труда и страховых взносов во внебюджетные фонды (9144,764 тыс.руб.)</t>
  </si>
  <si>
    <t xml:space="preserve">Увеличение ассигнований с связи с уточнением количества получателей </t>
  </si>
  <si>
    <t xml:space="preserve">Увеличение  ассигнований на финансовое обеспечение выполнения государственных заданий  </t>
  </si>
  <si>
    <t xml:space="preserve">Увеличение ассигнований  в целях погашения просроченной кредиторской задолженности, образовавшейся по состоянию на 01.01.2018.                                     Уменьшение ассигнований по итогам проведения конкурсных процедур                                                                                                                                                             </t>
  </si>
  <si>
    <t xml:space="preserve">Увеличение ассигнований в связи с реорганизацией Переславского комплексного центра социального обслуживания неселения </t>
  </si>
  <si>
    <t xml:space="preserve">Увеличение ассигнований на реализацию указов Президента Российской Федерации </t>
  </si>
  <si>
    <t>Увеличение ассигнований в связи с изменениями в отраслевую систему оплаты труда</t>
  </si>
  <si>
    <t xml:space="preserve">Увеличение ассигнований в связи с увеличением компенсации стоимости путевки в 2018 году </t>
  </si>
  <si>
    <t>Региональная программа "Стимулирование развития жилищного строительства на территории Ярославской области"</t>
  </si>
  <si>
    <t xml:space="preserve">Субвенция гражданам на приобретение жилья, обеспечение жильем отдельных категорий граждан, установленных Федеральным законом от 12 января 1995 года № 5-ФЗ "О ветеранах" </t>
  </si>
  <si>
    <t xml:space="preserve">Субвенция гражданам на приобретение жилья, обеспечение жильем отдельных категорий граждан, установленных Федеральным законом от 24 ноября 1995 года № 181-ФЗ "О социальной защите инвалидов в РФ" </t>
  </si>
  <si>
    <t xml:space="preserve">Увеличение ассигнований на 2019 год в размере 12 040,8 тыс. руб. на расселение жилищного фонда, признанного непригодным для проживания  </t>
  </si>
  <si>
    <t xml:space="preserve">Увеличение ассигнований :
2 805, 463 тыс.руб.- на выплату заработной платы
55,195 тыс. руб.- на оплату по исполнительному листу 
882,68 тыс. руб.- на уплату  налогов
</t>
  </si>
  <si>
    <t xml:space="preserve">Увеличение ассигнований на уплату налога на имущество, оплату пеней по исполнительному листу, штрафных санкций за нарушение условий контрактов (договоров) по поставке товаров, выполнению работ, оказанию услуг </t>
  </si>
  <si>
    <t>Увеличение ассигнований на подключение дежурных диспетчерских служб, экстренных оперативных служб, включая предоставление программного обеспечения, подключения каналов связи</t>
  </si>
  <si>
    <t xml:space="preserve">Увеличение ассигнований  для проведения Всероссийского фестиваля телевизионных программ "Золотое кольцо России" и  на проведение совместно с Министерством культуры РФ стратегического семинара по развитию туристского маршрута "Золотое кольцо" с участием федеральных отраслевых экспертов </t>
  </si>
  <si>
    <t xml:space="preserve">Увеличение ассигнований за счет предоставления субсидии из резервного фонда Правительства РФ для завершения строительства объекта "Берегоукрепление правого берега р. Волга. Ярославская область, г. Рыбинск, участок от "Обелиска" до ДС "Полет". Этап 1 – берегоукрепительные работы (устройство берегоукрепительного сооружения)" 
</t>
  </si>
  <si>
    <r>
      <t xml:space="preserve">Уменьшение ассигнований в 2018 году в результате экономии по конкурсным процедурам в сумме 12 702,0 млн. руб.
</t>
    </r>
    <r>
      <rPr>
        <b/>
        <sz val="10"/>
        <rFont val="Times New Roman"/>
        <family val="1"/>
        <charset val="204"/>
      </rPr>
      <t xml:space="preserve">Перенос на 2019 год  реализации следующих объектов: 
разработка проектной документации по строительству и реконструкции очистных сооружений канализации в г. Пошехонье и г. Мышкине в сумме        10 597,0 млн. руб.;
строительство локальных очистных сооружений и сетей канализации в п.Шестихино Некоузского МР в сумме 15 536,2 млн. руб.  </t>
    </r>
  </si>
  <si>
    <t xml:space="preserve">Увеличение ассигнований  с целью возмещения кредиторской задолженности 2017 года  ГКУ ЯО "Центр управления жилищно-коммунальным комплексом Ярославской области".
Уменьшение ассигнований по итогам проведения конкурсных процедур </t>
  </si>
  <si>
    <t>Увеличение ассигнований с целью обеспечения потребности</t>
  </si>
  <si>
    <t>Увеличение ассигнований  за счет средств федерального бюджета на государственную поддержку малого и среднего предпринимательства</t>
  </si>
  <si>
    <t>Уменьшение ассигнований в части софинансирования с федеральным бюджетом в соответствии с заключенным соглашением</t>
  </si>
  <si>
    <t>Увеличение ассигнований на приобретение канцелярских товаров</t>
  </si>
  <si>
    <t xml:space="preserve">Уменьшение ассигнований  субъектам деятельности в сфере промышленности области
</t>
  </si>
  <si>
    <t>Уменьшение ассигнований в связи  с отменой мероприятия - организация коллективного выставочного стенда и участия в международной промышленной выставке "Иннопром-2018"</t>
  </si>
  <si>
    <r>
      <t xml:space="preserve">Увеличение ассигнований для обеспечения резервной маршрутизации вызовов при неисправности системы - 112, послегарантийного технического обслуживания всех компонентов системы - 112, поддержки функционирования системы обеспечения вызова экстренных оперативных служб по единому номеру «112».
</t>
    </r>
    <r>
      <rPr>
        <b/>
        <sz val="10"/>
        <rFont val="Times New Roman"/>
        <family val="1"/>
        <charset val="204"/>
      </rPr>
      <t>30 860,2 тыс. руб. - 2019 год для проведения закупочных процедур для непрерывного обеспечения функционирования системы обеспечения вызова экстренных оперативных служб по единому номеру "112"</t>
    </r>
  </si>
  <si>
    <t>Увеличение ассигнований на основании распоряжения Правительства РФ от 04.08.2018 № 1620-р</t>
  </si>
  <si>
    <r>
      <t xml:space="preserve">Уменьшение ассигнований по ведомственной программе в связи с переносом сроков приобретения программного обеспечения с использованием Web-технологий на 2019 год.
</t>
    </r>
    <r>
      <rPr>
        <b/>
        <sz val="10"/>
        <rFont val="Times New Roman"/>
        <family val="1"/>
        <charset val="204"/>
      </rPr>
      <t>Увеличение ассигнований в 2019 году на 34 450 тыс. руб., в 2020 году на 17 700 тыс. руб.в связи с приобретением программного обеспечения с использованием Web-технологий и приобретением компьютерной техники</t>
    </r>
  </si>
  <si>
    <t>Увеличение ассигнований на дотацию на реализацию мероприятий, предусмотренных нормативно-правовыми актами органов государственной власти Ярославской области</t>
  </si>
  <si>
    <t>Увеличение ассигнований для предоставления субсидии на выполнение государственного задания ГАУ "МФЦ" в соответствии с установленными нормативами</t>
  </si>
  <si>
    <r>
      <t xml:space="preserve">Увеличение ассигнований на ФОТ с начислениями в связи с изменением объема выполняемых полномочий. 
</t>
    </r>
    <r>
      <rPr>
        <b/>
        <sz val="10"/>
        <rFont val="Times New Roman"/>
        <family val="1"/>
        <charset val="204"/>
      </rPr>
      <t>Аналогичные расходы предусмотреть в 2019 и 2020 годах</t>
    </r>
    <r>
      <rPr>
        <sz val="10"/>
        <rFont val="Times New Roman"/>
        <family val="1"/>
        <charset val="204"/>
      </rPr>
      <t xml:space="preserve"> </t>
    </r>
  </si>
  <si>
    <t>Увеличение бюджетных ассигнований на социальные выплаты пенсионерам департамента</t>
  </si>
  <si>
    <r>
      <t>Увеличение ассигнований в связи с приведением в соответствие с установленными нормативами ФОТ и страховых взносов во внебюджетные фонды.</t>
    </r>
    <r>
      <rPr>
        <b/>
        <sz val="10"/>
        <rFont val="Times New Roman"/>
        <family val="1"/>
        <charset val="204"/>
      </rPr>
      <t xml:space="preserve"> 
Аналогичные расходы предусмотреть в 2019-2020 годах </t>
    </r>
  </si>
  <si>
    <t>Увеличение и перераспределение ассигнований из расчета нормативных затрат согласно Методике распределения субвенции</t>
  </si>
  <si>
    <t xml:space="preserve">Увеличение  ассигнований из расчета нормативных затрат согласно Методике распределения субвенции </t>
  </si>
  <si>
    <t>Увеличение ассигнований на выплату компенсаций государственным служащим при сокращении в связи с реорганизацией департамента</t>
  </si>
  <si>
    <t>Увеличение ассигнований на приобретение кондиционера, канцтоваров, а также на услуги по заправке картриджей</t>
  </si>
  <si>
    <t xml:space="preserve">Увеличение ассигнований  в связи с увеличением количества публикаций </t>
  </si>
  <si>
    <r>
      <t xml:space="preserve">Увеличение ассигнований на ФОТ с начислениями в связи с изменением объема выполняемых полномочий. 
</t>
    </r>
    <r>
      <rPr>
        <b/>
        <sz val="10"/>
        <rFont val="Times New Roman"/>
        <family val="1"/>
        <charset val="204"/>
      </rPr>
      <t>Аналогичные расходы предусмотреть в 2019-2020 годах</t>
    </r>
    <r>
      <rPr>
        <sz val="10"/>
        <rFont val="Times New Roman"/>
        <family val="1"/>
        <charset val="204"/>
      </rPr>
      <t xml:space="preserve"> </t>
    </r>
  </si>
  <si>
    <t>Увеличение ассигнований на компенсационные выплаты</t>
  </si>
  <si>
    <r>
      <t xml:space="preserve">Увеличение ассигнований на ФОТ в связи с увеличением численности помощников мировых судей на 10 ед. с 01.01.2018. 
</t>
    </r>
    <r>
      <rPr>
        <b/>
        <sz val="10"/>
        <rFont val="Times New Roman"/>
        <family val="1"/>
        <charset val="204"/>
      </rPr>
      <t xml:space="preserve">Аналогичные расходы предусмотреть в 2019-2020 годах </t>
    </r>
  </si>
  <si>
    <t xml:space="preserve">Увеличение ассигнований  на реализацию указов Президента РФ </t>
  </si>
  <si>
    <t>Увеличение ассигнований на предоставление субсидии религиозной организации для оборудования котельной в Успенском соборе г. Ростова Великого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</si>
</sst>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
    <numFmt numFmtId="166" formatCode="#,##0.0"/>
    <numFmt numFmtId="167" formatCode="000"/>
    <numFmt numFmtId="168" formatCode="#,##0.00;[Red]\-#,##0.00;0.00"/>
  </numFmts>
  <fonts count="36"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family val="2"/>
      <charset val="204"/>
    </font>
    <font>
      <sz val="10"/>
      <name val="Arial Cyr"/>
      <charset val="204"/>
    </font>
    <font>
      <b/>
      <sz val="10"/>
      <color theme="1"/>
      <name val="Times New Roman"/>
      <family val="1"/>
      <charset val="204"/>
    </font>
    <font>
      <sz val="10"/>
      <color theme="1"/>
      <name val="Times New Roman"/>
      <family val="1"/>
      <charset val="204"/>
    </font>
    <font>
      <sz val="12"/>
      <color theme="1"/>
      <name val="Times New Roman"/>
      <family val="1"/>
      <charset val="204"/>
    </font>
    <font>
      <i/>
      <sz val="12"/>
      <color theme="1"/>
      <name val="Times New Roman"/>
      <family val="1"/>
      <charset val="204"/>
    </font>
    <font>
      <sz val="11"/>
      <color theme="1"/>
      <name val="Times New Roman"/>
      <family val="1"/>
      <charset val="204"/>
    </font>
    <font>
      <b/>
      <sz val="12"/>
      <color theme="1"/>
      <name val="Times New Roman"/>
      <family val="1"/>
      <charset val="204"/>
    </font>
    <font>
      <i/>
      <sz val="10"/>
      <color theme="1"/>
      <name val="Times New Roman"/>
      <family val="1"/>
      <charset val="204"/>
    </font>
    <font>
      <b/>
      <i/>
      <sz val="10"/>
      <color theme="1"/>
      <name val="Times New Roman"/>
      <family val="1"/>
      <charset val="204"/>
    </font>
    <font>
      <b/>
      <sz val="10"/>
      <color rgb="FFFF0000"/>
      <name val="Times New Roman"/>
      <family val="1"/>
      <charset val="204"/>
    </font>
    <font>
      <i/>
      <sz val="10"/>
      <name val="Times New Roman"/>
      <family val="1"/>
      <charset val="204"/>
    </font>
    <font>
      <sz val="10"/>
      <name val="Times New Roman"/>
      <family val="1"/>
      <charset val="204"/>
    </font>
    <font>
      <sz val="12"/>
      <name val="Times New Roman"/>
      <family val="1"/>
      <charset val="204"/>
    </font>
    <font>
      <i/>
      <sz val="12"/>
      <name val="Times New Roman"/>
      <family val="1"/>
      <charset val="204"/>
    </font>
    <font>
      <b/>
      <sz val="12"/>
      <color rgb="FFFF0000"/>
      <name val="Times New Roman"/>
      <family val="1"/>
      <charset val="204"/>
    </font>
    <font>
      <sz val="10"/>
      <color rgb="FFFF0000"/>
      <name val="Times New Roman"/>
      <family val="1"/>
      <charset val="204"/>
    </font>
    <font>
      <sz val="11"/>
      <name val="Times New Roman"/>
      <family val="1"/>
      <charset val="204"/>
    </font>
    <font>
      <i/>
      <sz val="11"/>
      <color theme="1"/>
      <name val="Times New Roman"/>
      <family val="1"/>
      <charset val="204"/>
    </font>
    <font>
      <b/>
      <sz val="10"/>
      <name val="Times New Roman"/>
      <family val="1"/>
      <charset val="204"/>
    </font>
    <font>
      <b/>
      <sz val="10"/>
      <name val="Arial Cyr"/>
      <charset val="204"/>
    </font>
    <font>
      <b/>
      <sz val="11"/>
      <name val="Times New Roman"/>
      <family val="1"/>
      <charset val="204"/>
    </font>
    <font>
      <b/>
      <sz val="14"/>
      <name val="Times New Roman"/>
      <family val="1"/>
      <charset val="204"/>
    </font>
    <font>
      <b/>
      <sz val="12"/>
      <name val="Times New Roman"/>
      <family val="1"/>
      <charset val="204"/>
    </font>
    <font>
      <b/>
      <i/>
      <sz val="10"/>
      <name val="Times New Roman"/>
      <family val="1"/>
      <charset val="204"/>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rgb="FFFF0000"/>
        <bgColor indexed="64"/>
      </patternFill>
    </fill>
    <fill>
      <patternFill patternType="solid">
        <fgColor theme="6" tint="0.39997558519241921"/>
        <bgColor indexed="64"/>
      </patternFill>
    </fill>
    <fill>
      <patternFill patternType="solid">
        <fgColor theme="6"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339">
    <xf numFmtId="0" fontId="0" fillId="0" borderId="0"/>
    <xf numFmtId="0" fontId="11" fillId="0" borderId="0"/>
    <xf numFmtId="0" fontId="10" fillId="0" borderId="0"/>
    <xf numFmtId="0" fontId="10" fillId="0" borderId="0"/>
    <xf numFmtId="0" fontId="10" fillId="0" borderId="0"/>
    <xf numFmtId="0" fontId="10" fillId="0" borderId="0"/>
    <xf numFmtId="164" fontId="12" fillId="0" borderId="0" applyFont="0" applyFill="0" applyBorder="0" applyAlignment="0" applyProtection="0"/>
    <xf numFmtId="0" fontId="10" fillId="0" borderId="0"/>
    <xf numFmtId="0" fontId="10" fillId="0" borderId="0"/>
    <xf numFmtId="0" fontId="9" fillId="0" borderId="0"/>
    <xf numFmtId="0" fontId="8" fillId="0" borderId="0"/>
    <xf numFmtId="0" fontId="8"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5">
    <xf numFmtId="0" fontId="0" fillId="0" borderId="0" xfId="0"/>
    <xf numFmtId="0" fontId="21" fillId="0" borderId="1" xfId="1" applyNumberFormat="1" applyFont="1" applyFill="1" applyBorder="1" applyAlignment="1" applyProtection="1">
      <alignment horizontal="left" vertical="top" wrapText="1"/>
      <protection hidden="1"/>
    </xf>
    <xf numFmtId="0" fontId="19" fillId="2" borderId="1" xfId="9" applyFont="1" applyFill="1" applyBorder="1" applyAlignment="1">
      <alignment horizontal="left" vertical="top" wrapText="1"/>
    </xf>
    <xf numFmtId="0" fontId="19" fillId="0" borderId="1" xfId="9" applyFont="1" applyFill="1" applyBorder="1" applyAlignment="1">
      <alignment horizontal="left" vertical="top" wrapText="1"/>
    </xf>
    <xf numFmtId="3" fontId="15" fillId="5" borderId="1" xfId="3" applyNumberFormat="1" applyFont="1" applyFill="1" applyBorder="1" applyAlignment="1" applyProtection="1">
      <alignment wrapText="1"/>
      <protection hidden="1"/>
    </xf>
    <xf numFmtId="3" fontId="0" fillId="0" borderId="0" xfId="0" applyNumberFormat="1"/>
    <xf numFmtId="3" fontId="0" fillId="2" borderId="0" xfId="0" applyNumberFormat="1" applyFill="1"/>
    <xf numFmtId="0" fontId="30" fillId="2" borderId="1" xfId="0" applyFont="1" applyFill="1" applyBorder="1"/>
    <xf numFmtId="0" fontId="30" fillId="2" borderId="1" xfId="0" applyFont="1" applyFill="1" applyBorder="1" applyAlignment="1">
      <alignment wrapText="1"/>
    </xf>
    <xf numFmtId="0" fontId="14" fillId="0" borderId="5" xfId="3" applyFont="1" applyFill="1" applyBorder="1" applyAlignment="1">
      <alignment horizontal="left" vertical="top" wrapText="1"/>
    </xf>
    <xf numFmtId="3" fontId="18" fillId="2" borderId="1" xfId="0" applyNumberFormat="1" applyFont="1" applyFill="1" applyBorder="1" applyAlignment="1"/>
    <xf numFmtId="3" fontId="15" fillId="2" borderId="1" xfId="0" applyNumberFormat="1" applyFont="1" applyFill="1" applyBorder="1" applyAlignment="1" applyProtection="1">
      <alignment wrapText="1"/>
      <protection hidden="1"/>
    </xf>
    <xf numFmtId="0" fontId="14" fillId="0" borderId="5" xfId="3" applyNumberFormat="1" applyFont="1" applyFill="1" applyBorder="1" applyAlignment="1" applyProtection="1">
      <alignment horizontal="left" vertical="top" wrapText="1"/>
      <protection hidden="1"/>
    </xf>
    <xf numFmtId="0" fontId="13" fillId="2" borderId="1" xfId="0" applyFont="1" applyFill="1" applyBorder="1" applyAlignment="1" applyProtection="1">
      <alignment horizontal="left" vertical="top" wrapText="1"/>
      <protection hidden="1"/>
    </xf>
    <xf numFmtId="165" fontId="27" fillId="0" borderId="5" xfId="1" applyNumberFormat="1" applyFont="1" applyFill="1" applyBorder="1" applyAlignment="1" applyProtection="1">
      <alignment horizontal="left" vertical="top" wrapText="1"/>
      <protection hidden="1"/>
    </xf>
    <xf numFmtId="3" fontId="15" fillId="2" borderId="1" xfId="0" applyNumberFormat="1" applyFont="1" applyFill="1" applyBorder="1" applyAlignment="1" applyProtection="1"/>
    <xf numFmtId="0" fontId="14" fillId="0" borderId="5" xfId="3" applyNumberFormat="1" applyFont="1" applyFill="1" applyBorder="1" applyAlignment="1" applyProtection="1">
      <alignment horizontal="left" vertical="top" wrapText="1"/>
    </xf>
    <xf numFmtId="3" fontId="15" fillId="2" borderId="1" xfId="3" applyNumberFormat="1" applyFont="1" applyFill="1" applyBorder="1" applyAlignment="1" applyProtection="1">
      <alignment wrapText="1"/>
      <protection hidden="1"/>
    </xf>
    <xf numFmtId="49" fontId="14" fillId="4" borderId="1" xfId="5" applyNumberFormat="1" applyFont="1" applyFill="1" applyBorder="1" applyAlignment="1">
      <alignment horizontal="left" vertical="top" wrapText="1"/>
    </xf>
    <xf numFmtId="0" fontId="13" fillId="2" borderId="1" xfId="3" applyNumberFormat="1" applyFont="1" applyFill="1" applyBorder="1" applyAlignment="1" applyProtection="1">
      <alignment horizontal="left" vertical="top" wrapText="1"/>
      <protection hidden="1"/>
    </xf>
    <xf numFmtId="0" fontId="14" fillId="0" borderId="5" xfId="0" applyFont="1" applyFill="1" applyBorder="1" applyAlignment="1">
      <alignment horizontal="left" vertical="top" wrapText="1"/>
    </xf>
    <xf numFmtId="3" fontId="31" fillId="2" borderId="1" xfId="0" applyNumberFormat="1" applyFont="1" applyFill="1" applyBorder="1"/>
    <xf numFmtId="3" fontId="15" fillId="2" borderId="1" xfId="0" applyNumberFormat="1" applyFont="1" applyFill="1" applyBorder="1" applyAlignment="1"/>
    <xf numFmtId="3" fontId="31" fillId="0" borderId="1" xfId="0" applyNumberFormat="1" applyFont="1" applyBorder="1"/>
    <xf numFmtId="0" fontId="30" fillId="0" borderId="1" xfId="0" applyFont="1" applyBorder="1"/>
    <xf numFmtId="3" fontId="27" fillId="0" borderId="5" xfId="3" applyNumberFormat="1" applyFont="1" applyFill="1" applyBorder="1" applyAlignment="1" applyProtection="1">
      <alignment horizontal="left" vertical="top" wrapText="1"/>
      <protection hidden="1"/>
    </xf>
    <xf numFmtId="3" fontId="15" fillId="2" borderId="1" xfId="0" applyNumberFormat="1" applyFont="1" applyFill="1" applyBorder="1" applyAlignment="1">
      <alignment wrapText="1"/>
    </xf>
    <xf numFmtId="3" fontId="15" fillId="2" borderId="1" xfId="6" applyNumberFormat="1" applyFont="1" applyFill="1" applyBorder="1" applyAlignment="1"/>
    <xf numFmtId="0" fontId="15" fillId="0" borderId="1" xfId="0" applyFont="1" applyFill="1" applyBorder="1" applyAlignment="1">
      <alignment horizontal="center" vertical="center" wrapText="1"/>
    </xf>
    <xf numFmtId="49" fontId="21" fillId="0" borderId="1" xfId="4" applyNumberFormat="1" applyFont="1" applyFill="1" applyBorder="1" applyAlignment="1" applyProtection="1">
      <alignment horizontal="center" wrapText="1"/>
      <protection hidden="1"/>
    </xf>
    <xf numFmtId="3" fontId="18" fillId="0" borderId="1" xfId="0" applyNumberFormat="1" applyFont="1" applyFill="1" applyBorder="1" applyAlignment="1"/>
    <xf numFmtId="49" fontId="13" fillId="0" borderId="1" xfId="4" applyNumberFormat="1" applyFont="1" applyFill="1" applyBorder="1" applyAlignment="1" applyProtection="1">
      <alignment horizontal="center" wrapText="1"/>
      <protection hidden="1"/>
    </xf>
    <xf numFmtId="0" fontId="13" fillId="0" borderId="1" xfId="3" applyNumberFormat="1" applyFont="1" applyFill="1" applyBorder="1" applyAlignment="1" applyProtection="1">
      <alignment horizontal="left" vertical="top" wrapText="1"/>
      <protection hidden="1"/>
    </xf>
    <xf numFmtId="0" fontId="14" fillId="0" borderId="1" xfId="3" applyNumberFormat="1" applyFont="1" applyFill="1" applyBorder="1" applyAlignment="1" applyProtection="1">
      <alignment horizontal="left" vertical="top" wrapText="1"/>
    </xf>
    <xf numFmtId="49" fontId="13" fillId="0" borderId="1" xfId="4" applyNumberFormat="1" applyFont="1" applyFill="1" applyBorder="1" applyAlignment="1" applyProtection="1">
      <alignment horizontal="center" vertical="top" wrapText="1"/>
      <protection hidden="1"/>
    </xf>
    <xf numFmtId="0" fontId="19" fillId="0" borderId="1" xfId="3" applyNumberFormat="1" applyFont="1" applyFill="1" applyBorder="1" applyAlignment="1" applyProtection="1">
      <alignment horizontal="left" vertical="top" wrapText="1"/>
      <protection hidden="1"/>
    </xf>
    <xf numFmtId="3" fontId="16" fillId="0" borderId="1" xfId="0" applyNumberFormat="1" applyFont="1" applyFill="1" applyBorder="1" applyAlignment="1"/>
    <xf numFmtId="0" fontId="14" fillId="0" borderId="1" xfId="3" applyNumberFormat="1" applyFont="1" applyFill="1" applyBorder="1" applyAlignment="1" applyProtection="1">
      <alignment horizontal="left" vertical="top" wrapText="1"/>
      <protection hidden="1"/>
    </xf>
    <xf numFmtId="0" fontId="13" fillId="0" borderId="1" xfId="3" applyNumberFormat="1" applyFont="1" applyFill="1" applyBorder="1" applyAlignment="1" applyProtection="1">
      <alignment horizontal="left" vertical="top" wrapText="1"/>
    </xf>
    <xf numFmtId="3" fontId="18" fillId="0" borderId="1" xfId="0" applyNumberFormat="1" applyFont="1" applyFill="1" applyBorder="1" applyAlignment="1" applyProtection="1"/>
    <xf numFmtId="0" fontId="14" fillId="0" borderId="1" xfId="3" applyFont="1" applyFill="1" applyBorder="1" applyAlignment="1">
      <alignment horizontal="left" vertical="top" wrapText="1"/>
    </xf>
    <xf numFmtId="3" fontId="16" fillId="0" borderId="1" xfId="0" applyNumberFormat="1" applyFont="1" applyFill="1" applyBorder="1" applyAlignment="1" applyProtection="1"/>
    <xf numFmtId="3" fontId="15" fillId="0" borderId="1" xfId="0" applyNumberFormat="1" applyFont="1" applyFill="1" applyBorder="1" applyAlignment="1" applyProtection="1">
      <alignment wrapText="1"/>
      <protection hidden="1"/>
    </xf>
    <xf numFmtId="0" fontId="14" fillId="0" borderId="1" xfId="0" applyFont="1" applyFill="1" applyBorder="1" applyAlignment="1">
      <alignment horizontal="left" vertical="top" wrapText="1"/>
    </xf>
    <xf numFmtId="0" fontId="14" fillId="0" borderId="1" xfId="0" applyFont="1" applyFill="1" applyBorder="1" applyAlignment="1" applyProtection="1">
      <alignment horizontal="left" vertical="top" wrapText="1"/>
    </xf>
    <xf numFmtId="3" fontId="15" fillId="0" borderId="1" xfId="0" applyNumberFormat="1" applyFont="1" applyFill="1" applyBorder="1" applyAlignment="1"/>
    <xf numFmtId="0" fontId="21" fillId="0" borderId="1" xfId="3" applyNumberFormat="1" applyFont="1" applyFill="1" applyBorder="1" applyAlignment="1" applyProtection="1">
      <alignment horizontal="left" vertical="top" wrapText="1"/>
      <protection hidden="1"/>
    </xf>
    <xf numFmtId="3" fontId="14" fillId="0" borderId="1" xfId="3" applyNumberFormat="1"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horizontal="left" vertical="top" wrapText="1"/>
      <protection hidden="1"/>
    </xf>
    <xf numFmtId="3" fontId="18" fillId="0" borderId="1" xfId="0" applyNumberFormat="1" applyFont="1" applyFill="1" applyBorder="1" applyAlignment="1" applyProtection="1">
      <alignment wrapText="1"/>
      <protection hidden="1"/>
    </xf>
    <xf numFmtId="3" fontId="16" fillId="0" borderId="1" xfId="0" applyNumberFormat="1" applyFont="1" applyFill="1" applyBorder="1" applyAlignment="1" applyProtection="1">
      <alignment wrapText="1"/>
      <protection hidden="1"/>
    </xf>
    <xf numFmtId="0" fontId="14" fillId="0" borderId="1" xfId="3" applyNumberFormat="1" applyFont="1" applyFill="1" applyBorder="1" applyAlignment="1" applyProtection="1">
      <alignment horizontal="left" vertical="top"/>
    </xf>
    <xf numFmtId="3" fontId="15" fillId="0" borderId="1" xfId="0" applyNumberFormat="1" applyFont="1" applyFill="1" applyBorder="1" applyAlignment="1" applyProtection="1">
      <alignment horizontal="right" wrapText="1"/>
      <protection hidden="1"/>
    </xf>
    <xf numFmtId="0" fontId="14" fillId="0" borderId="4" xfId="0" applyFont="1" applyFill="1" applyBorder="1" applyAlignment="1">
      <alignment horizontal="left" vertical="top" wrapText="1"/>
    </xf>
    <xf numFmtId="49" fontId="20" fillId="0" borderId="1" xfId="4" applyNumberFormat="1" applyFont="1" applyFill="1" applyBorder="1" applyAlignment="1" applyProtection="1">
      <alignment horizontal="center" wrapText="1"/>
      <protection hidden="1"/>
    </xf>
    <xf numFmtId="0" fontId="21" fillId="0" borderId="1" xfId="2" applyNumberFormat="1" applyFont="1" applyFill="1" applyBorder="1" applyAlignment="1" applyProtection="1">
      <alignment horizontal="left" vertical="top" wrapText="1"/>
      <protection hidden="1"/>
    </xf>
    <xf numFmtId="0" fontId="14" fillId="0" borderId="1" xfId="0" applyFont="1" applyFill="1" applyBorder="1" applyAlignment="1">
      <alignment horizontal="left" vertical="top"/>
    </xf>
    <xf numFmtId="0" fontId="13" fillId="0" borderId="1" xfId="2" applyNumberFormat="1" applyFont="1" applyFill="1" applyBorder="1" applyAlignment="1" applyProtection="1">
      <alignment horizontal="left" vertical="top" wrapText="1"/>
      <protection hidden="1"/>
    </xf>
    <xf numFmtId="0" fontId="19" fillId="0" borderId="1" xfId="2" applyNumberFormat="1" applyFont="1" applyFill="1" applyBorder="1" applyAlignment="1" applyProtection="1">
      <alignment horizontal="left" vertical="top" wrapText="1"/>
      <protection hidden="1"/>
    </xf>
    <xf numFmtId="3" fontId="16" fillId="0" borderId="1" xfId="0" applyNumberFormat="1" applyFont="1" applyFill="1" applyBorder="1" applyAlignment="1">
      <alignment wrapText="1"/>
    </xf>
    <xf numFmtId="0" fontId="13" fillId="0" borderId="1" xfId="2" applyNumberFormat="1" applyFont="1" applyFill="1" applyBorder="1" applyAlignment="1" applyProtection="1">
      <alignment horizontal="left" vertical="top" wrapText="1"/>
    </xf>
    <xf numFmtId="3" fontId="24" fillId="0" borderId="1" xfId="0" applyNumberFormat="1" applyFont="1" applyFill="1" applyBorder="1" applyAlignment="1">
      <alignment wrapText="1"/>
    </xf>
    <xf numFmtId="0" fontId="13" fillId="0" borderId="1" xfId="5" applyNumberFormat="1" applyFont="1" applyFill="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49" fontId="21" fillId="0" borderId="1" xfId="4" applyNumberFormat="1" applyFont="1" applyFill="1" applyBorder="1" applyAlignment="1" applyProtection="1">
      <alignment horizontal="center" vertical="top" wrapText="1"/>
      <protection hidden="1"/>
    </xf>
    <xf numFmtId="49" fontId="13" fillId="0" borderId="1" xfId="4" applyNumberFormat="1" applyFont="1" applyFill="1" applyBorder="1" applyAlignment="1" applyProtection="1">
      <alignment horizontal="center" vertical="center" wrapText="1"/>
      <protection hidden="1"/>
    </xf>
    <xf numFmtId="0" fontId="14" fillId="0" borderId="1" xfId="5" applyNumberFormat="1" applyFont="1" applyFill="1" applyBorder="1" applyAlignment="1" applyProtection="1">
      <alignment horizontal="left" vertical="top" wrapText="1"/>
      <protection hidden="1"/>
    </xf>
    <xf numFmtId="3" fontId="15" fillId="0" borderId="1" xfId="6" applyNumberFormat="1" applyFont="1" applyFill="1" applyBorder="1" applyAlignment="1" applyProtection="1">
      <alignment wrapText="1"/>
      <protection hidden="1"/>
    </xf>
    <xf numFmtId="166" fontId="24" fillId="0" borderId="1" xfId="0" applyNumberFormat="1" applyFont="1" applyFill="1" applyBorder="1" applyAlignment="1">
      <alignment wrapText="1"/>
    </xf>
    <xf numFmtId="0" fontId="13" fillId="0" borderId="1" xfId="8" applyNumberFormat="1" applyFont="1" applyFill="1" applyBorder="1" applyAlignment="1" applyProtection="1">
      <alignment horizontal="left" vertical="top" wrapText="1"/>
      <protection hidden="1"/>
    </xf>
    <xf numFmtId="0" fontId="14" fillId="0" borderId="1" xfId="8" applyNumberFormat="1" applyFont="1" applyFill="1" applyBorder="1" applyAlignment="1" applyProtection="1">
      <alignment horizontal="left" vertical="top" wrapText="1"/>
      <protection hidden="1"/>
    </xf>
    <xf numFmtId="3" fontId="24" fillId="0" borderId="1" xfId="0" applyNumberFormat="1" applyFont="1" applyFill="1" applyBorder="1" applyAlignment="1"/>
    <xf numFmtId="49" fontId="13" fillId="0" borderId="1" xfId="3" applyNumberFormat="1" applyFont="1" applyFill="1" applyBorder="1" applyAlignment="1" applyProtection="1">
      <alignment vertical="top"/>
    </xf>
    <xf numFmtId="49" fontId="13" fillId="0" borderId="1" xfId="3" applyNumberFormat="1" applyFont="1" applyFill="1" applyBorder="1" applyAlignment="1" applyProtection="1">
      <alignment vertical="top" wrapText="1"/>
      <protection hidden="1"/>
    </xf>
    <xf numFmtId="0" fontId="14" fillId="0" borderId="1" xfId="0" applyFont="1" applyFill="1" applyBorder="1" applyAlignment="1" applyProtection="1">
      <alignment horizontal="left" vertical="top" wrapText="1"/>
      <protection hidden="1"/>
    </xf>
    <xf numFmtId="49" fontId="13" fillId="0" borderId="1" xfId="0" applyNumberFormat="1" applyFont="1" applyFill="1" applyBorder="1" applyAlignment="1">
      <alignment horizontal="left" vertical="top" wrapText="1"/>
    </xf>
    <xf numFmtId="0" fontId="23" fillId="0" borderId="1" xfId="3" applyNumberFormat="1" applyFont="1" applyFill="1" applyBorder="1" applyAlignment="1" applyProtection="1">
      <alignment horizontal="left" vertical="top" wrapText="1"/>
      <protection hidden="1"/>
    </xf>
    <xf numFmtId="0" fontId="15" fillId="0" borderId="1" xfId="3" applyNumberFormat="1" applyFont="1" applyFill="1" applyBorder="1" applyAlignment="1" applyProtection="1">
      <alignment wrapText="1"/>
      <protection hidden="1"/>
    </xf>
    <xf numFmtId="166" fontId="14" fillId="0" borderId="1" xfId="2" applyNumberFormat="1" applyFont="1" applyFill="1" applyBorder="1" applyAlignment="1" applyProtection="1">
      <alignment horizontal="left" vertical="top" wrapText="1"/>
      <protection hidden="1"/>
    </xf>
    <xf numFmtId="0" fontId="14" fillId="0" borderId="1" xfId="2" applyNumberFormat="1" applyFont="1" applyFill="1" applyBorder="1" applyAlignment="1" applyProtection="1">
      <alignment horizontal="left" vertical="top" wrapText="1"/>
      <protection hidden="1"/>
    </xf>
    <xf numFmtId="0" fontId="21" fillId="0" borderId="1" xfId="5" applyNumberFormat="1" applyFont="1" applyFill="1" applyBorder="1" applyAlignment="1" applyProtection="1">
      <alignment horizontal="left" vertical="top" wrapText="1"/>
      <protection hidden="1"/>
    </xf>
    <xf numFmtId="3" fontId="18" fillId="0" borderId="1" xfId="5" applyNumberFormat="1" applyFont="1" applyFill="1" applyBorder="1" applyAlignment="1" applyProtection="1">
      <alignment wrapText="1"/>
      <protection hidden="1"/>
    </xf>
    <xf numFmtId="3" fontId="16" fillId="0" borderId="1" xfId="3" applyNumberFormat="1" applyFont="1" applyFill="1" applyBorder="1" applyAlignment="1" applyProtection="1">
      <alignment wrapText="1"/>
      <protection hidden="1"/>
    </xf>
    <xf numFmtId="49" fontId="14" fillId="0" borderId="1" xfId="4" applyNumberFormat="1" applyFont="1" applyFill="1" applyBorder="1" applyAlignment="1" applyProtection="1">
      <alignment horizontal="center" wrapText="1"/>
      <protection hidden="1"/>
    </xf>
    <xf numFmtId="3" fontId="15" fillId="0" borderId="1" xfId="3" applyNumberFormat="1" applyFont="1" applyFill="1" applyBorder="1" applyAlignment="1" applyProtection="1">
      <alignment wrapText="1"/>
      <protection hidden="1"/>
    </xf>
    <xf numFmtId="49" fontId="14" fillId="0" borderId="1" xfId="3" applyNumberFormat="1" applyFont="1" applyFill="1" applyBorder="1" applyAlignment="1" applyProtection="1">
      <alignment vertical="top" wrapText="1"/>
      <protection hidden="1"/>
    </xf>
    <xf numFmtId="0" fontId="14" fillId="0" borderId="1" xfId="3" applyNumberFormat="1" applyFont="1" applyFill="1" applyBorder="1" applyAlignment="1" applyProtection="1">
      <alignment vertical="center" wrapText="1"/>
      <protection hidden="1"/>
    </xf>
    <xf numFmtId="0" fontId="14" fillId="0" borderId="1" xfId="3" applyNumberFormat="1" applyFont="1" applyFill="1" applyBorder="1" applyAlignment="1" applyProtection="1">
      <alignment vertical="top" wrapText="1"/>
      <protection hidden="1"/>
    </xf>
    <xf numFmtId="49" fontId="14" fillId="0" borderId="1" xfId="0" applyNumberFormat="1" applyFont="1" applyFill="1" applyBorder="1"/>
    <xf numFmtId="165" fontId="14" fillId="0" borderId="1" xfId="0" applyNumberFormat="1" applyFont="1" applyFill="1" applyBorder="1" applyAlignment="1" applyProtection="1">
      <alignment horizontal="left" vertical="top"/>
    </xf>
    <xf numFmtId="3" fontId="18" fillId="0" borderId="1" xfId="3" applyNumberFormat="1" applyFont="1" applyFill="1" applyBorder="1" applyAlignment="1" applyProtection="1">
      <alignment wrapText="1"/>
      <protection hidden="1"/>
    </xf>
    <xf numFmtId="3" fontId="18" fillId="0" borderId="1" xfId="3" applyNumberFormat="1" applyFont="1" applyFill="1" applyBorder="1" applyAlignment="1" applyProtection="1"/>
    <xf numFmtId="3" fontId="18" fillId="0" borderId="1" xfId="6" applyNumberFormat="1" applyFont="1" applyFill="1" applyBorder="1" applyAlignment="1"/>
    <xf numFmtId="3" fontId="15" fillId="0" borderId="1" xfId="6" applyNumberFormat="1" applyFont="1" applyFill="1" applyBorder="1" applyAlignment="1"/>
    <xf numFmtId="0" fontId="14" fillId="0" borderId="1" xfId="0" applyFont="1" applyFill="1" applyBorder="1" applyAlignment="1">
      <alignment vertical="top" wrapText="1"/>
    </xf>
    <xf numFmtId="49" fontId="14" fillId="0" borderId="1" xfId="0" applyNumberFormat="1" applyFont="1" applyFill="1" applyBorder="1" applyAlignment="1">
      <alignment horizontal="center" vertical="center" wrapText="1"/>
    </xf>
    <xf numFmtId="49" fontId="13" fillId="0" borderId="1" xfId="4" applyNumberFormat="1" applyFont="1" applyFill="1" applyBorder="1" applyAlignment="1" applyProtection="1">
      <alignment horizontal="left" wrapText="1"/>
      <protection hidden="1"/>
    </xf>
    <xf numFmtId="0" fontId="13" fillId="0" borderId="1" xfId="0" applyFont="1" applyFill="1" applyBorder="1" applyAlignment="1" applyProtection="1">
      <alignment horizontal="left" vertical="top" wrapText="1"/>
      <protection hidden="1"/>
    </xf>
    <xf numFmtId="4" fontId="14" fillId="0" borderId="1" xfId="0" applyNumberFormat="1" applyFont="1" applyFill="1" applyBorder="1" applyAlignment="1">
      <alignment horizontal="left" vertical="top" wrapText="1"/>
    </xf>
    <xf numFmtId="49" fontId="13" fillId="0" borderId="1" xfId="4" applyNumberFormat="1" applyFont="1" applyFill="1" applyBorder="1" applyAlignment="1" applyProtection="1">
      <alignment wrapText="1"/>
      <protection hidden="1"/>
    </xf>
    <xf numFmtId="49" fontId="23" fillId="0" borderId="1" xfId="0" applyNumberFormat="1" applyFont="1" applyFill="1" applyBorder="1" applyAlignment="1">
      <alignment horizontal="left" vertical="center" wrapText="1"/>
    </xf>
    <xf numFmtId="3" fontId="14" fillId="0" borderId="1" xfId="0" applyNumberFormat="1" applyFont="1" applyFill="1" applyBorder="1" applyAlignment="1">
      <alignment horizontal="left" vertical="top"/>
    </xf>
    <xf numFmtId="0" fontId="20" fillId="0" borderId="1" xfId="5" applyNumberFormat="1" applyFont="1" applyFill="1" applyBorder="1" applyAlignment="1" applyProtection="1">
      <alignment horizontal="left" vertical="top" wrapText="1"/>
      <protection hidden="1"/>
    </xf>
    <xf numFmtId="167" fontId="19" fillId="0" borderId="1" xfId="5" applyNumberFormat="1" applyFont="1" applyFill="1" applyBorder="1" applyAlignment="1" applyProtection="1">
      <alignment horizontal="left" vertical="top" wrapText="1"/>
      <protection hidden="1"/>
    </xf>
    <xf numFmtId="0" fontId="13" fillId="0" borderId="1" xfId="7" applyNumberFormat="1" applyFont="1" applyFill="1" applyBorder="1" applyAlignment="1" applyProtection="1">
      <alignment horizontal="left" vertical="top" wrapText="1"/>
      <protection hidden="1"/>
    </xf>
    <xf numFmtId="0" fontId="19" fillId="0" borderId="1" xfId="7" applyNumberFormat="1" applyFont="1" applyFill="1" applyBorder="1" applyAlignment="1" applyProtection="1">
      <alignment horizontal="left" vertical="top" wrapText="1"/>
      <protection hidden="1"/>
    </xf>
    <xf numFmtId="0" fontId="14" fillId="0" borderId="1" xfId="7" applyNumberFormat="1" applyFont="1" applyFill="1" applyBorder="1" applyAlignment="1" applyProtection="1">
      <alignment horizontal="left" vertical="top" wrapText="1"/>
      <protection hidden="1"/>
    </xf>
    <xf numFmtId="0" fontId="14" fillId="0" borderId="1" xfId="0" applyNumberFormat="1" applyFont="1" applyFill="1" applyBorder="1" applyAlignment="1">
      <alignment horizontal="left" vertical="top" wrapText="1"/>
    </xf>
    <xf numFmtId="49" fontId="14" fillId="0" borderId="1" xfId="5" applyNumberFormat="1" applyFont="1" applyFill="1" applyBorder="1" applyAlignment="1">
      <alignment horizontal="left" vertical="top" wrapText="1"/>
    </xf>
    <xf numFmtId="0" fontId="19" fillId="0" borderId="1" xfId="8" applyNumberFormat="1" applyFont="1" applyFill="1" applyBorder="1" applyAlignment="1" applyProtection="1">
      <alignment horizontal="left" vertical="top" wrapText="1"/>
      <protection hidden="1"/>
    </xf>
    <xf numFmtId="3" fontId="15" fillId="0" borderId="1" xfId="0" applyNumberFormat="1" applyFont="1" applyFill="1" applyBorder="1" applyAlignment="1">
      <alignment wrapText="1"/>
    </xf>
    <xf numFmtId="0" fontId="14" fillId="0" borderId="1" xfId="5" applyNumberFormat="1" applyFont="1" applyFill="1" applyBorder="1" applyAlignment="1" applyProtection="1">
      <alignment vertical="top" wrapText="1"/>
      <protection hidden="1"/>
    </xf>
    <xf numFmtId="3" fontId="16" fillId="0" borderId="1" xfId="0" applyNumberFormat="1" applyFont="1" applyFill="1" applyBorder="1" applyAlignment="1">
      <alignment horizontal="right" wrapText="1"/>
    </xf>
    <xf numFmtId="0" fontId="19" fillId="2" borderId="1" xfId="3" applyNumberFormat="1" applyFont="1" applyFill="1" applyBorder="1" applyAlignment="1" applyProtection="1">
      <alignment horizontal="left" vertical="top" wrapText="1"/>
      <protection hidden="1"/>
    </xf>
    <xf numFmtId="0" fontId="19" fillId="2" borderId="1" xfId="2" applyNumberFormat="1" applyFont="1" applyFill="1" applyBorder="1" applyAlignment="1" applyProtection="1">
      <alignment horizontal="left" vertical="top" wrapText="1"/>
      <protection hidden="1"/>
    </xf>
    <xf numFmtId="0" fontId="19" fillId="2" borderId="1" xfId="0" applyFont="1" applyFill="1" applyBorder="1" applyAlignment="1" applyProtection="1">
      <alignment horizontal="left" vertical="top" wrapText="1"/>
      <protection hidden="1"/>
    </xf>
    <xf numFmtId="49" fontId="19" fillId="2" borderId="1" xfId="3" applyNumberFormat="1" applyFont="1" applyFill="1" applyBorder="1" applyAlignment="1" applyProtection="1">
      <alignment horizontal="left" vertical="top" wrapText="1"/>
      <protection hidden="1"/>
    </xf>
    <xf numFmtId="0" fontId="19" fillId="2" borderId="1" xfId="7" applyNumberFormat="1" applyFont="1" applyFill="1" applyBorder="1" applyAlignment="1" applyProtection="1">
      <alignment horizontal="left" vertical="top" wrapText="1"/>
      <protection hidden="1"/>
    </xf>
    <xf numFmtId="0" fontId="19" fillId="2" borderId="1" xfId="8" applyNumberFormat="1" applyFont="1" applyFill="1" applyBorder="1" applyAlignment="1" applyProtection="1">
      <alignment horizontal="left" vertical="top" wrapText="1"/>
      <protection hidden="1"/>
    </xf>
    <xf numFmtId="3" fontId="14" fillId="0" borderId="1" xfId="0" applyNumberFormat="1"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1" xfId="0" applyFont="1" applyFill="1" applyBorder="1" applyAlignment="1">
      <alignment vertical="center" wrapText="1"/>
    </xf>
    <xf numFmtId="0" fontId="17" fillId="0" borderId="1" xfId="3" applyNumberFormat="1" applyFont="1" applyFill="1" applyBorder="1" applyAlignment="1" applyProtection="1">
      <alignment horizontal="left" vertical="top" wrapText="1"/>
      <protection hidden="1"/>
    </xf>
    <xf numFmtId="0" fontId="23" fillId="3" borderId="1" xfId="3" applyNumberFormat="1" applyFont="1" applyFill="1" applyBorder="1" applyAlignment="1" applyProtection="1">
      <alignment horizontal="left" vertical="top" wrapText="1"/>
      <protection hidden="1"/>
    </xf>
    <xf numFmtId="0" fontId="23" fillId="3" borderId="1" xfId="3" applyNumberFormat="1" applyFont="1" applyFill="1" applyBorder="1" applyAlignment="1" applyProtection="1">
      <alignment vertical="top" wrapText="1"/>
    </xf>
    <xf numFmtId="3" fontId="15" fillId="0" borderId="1" xfId="0" applyNumberFormat="1" applyFont="1" applyFill="1" applyBorder="1" applyAlignment="1">
      <alignment vertical="top"/>
    </xf>
    <xf numFmtId="3" fontId="26" fillId="0" borderId="1" xfId="0" applyNumberFormat="1" applyFont="1" applyFill="1" applyBorder="1" applyAlignment="1"/>
    <xf numFmtId="0" fontId="27" fillId="0" borderId="1" xfId="0" applyFont="1" applyFill="1" applyBorder="1" applyAlignment="1">
      <alignment horizontal="left" vertical="top"/>
    </xf>
    <xf numFmtId="0" fontId="28" fillId="0" borderId="5" xfId="0" applyFont="1" applyFill="1" applyBorder="1" applyAlignment="1">
      <alignment vertical="top" wrapText="1"/>
    </xf>
    <xf numFmtId="0" fontId="23" fillId="0" borderId="1" xfId="5" applyNumberFormat="1" applyFont="1" applyFill="1" applyBorder="1" applyAlignment="1" applyProtection="1">
      <alignment vertical="top" wrapText="1"/>
      <protection hidden="1"/>
    </xf>
    <xf numFmtId="0" fontId="21" fillId="0" borderId="1" xfId="0" applyFont="1" applyBorder="1" applyAlignment="1">
      <alignment wrapText="1"/>
    </xf>
    <xf numFmtId="0" fontId="13" fillId="0" borderId="1" xfId="0" applyFont="1" applyBorder="1" applyAlignment="1">
      <alignment wrapText="1"/>
    </xf>
    <xf numFmtId="0" fontId="0" fillId="0" borderId="1" xfId="0" applyBorder="1" applyAlignment="1" applyProtection="1"/>
    <xf numFmtId="0" fontId="19" fillId="2" borderId="1" xfId="0" applyFont="1" applyFill="1" applyBorder="1" applyAlignment="1">
      <alignment wrapText="1"/>
    </xf>
    <xf numFmtId="0" fontId="19" fillId="3" borderId="1" xfId="0" applyFont="1" applyFill="1" applyBorder="1" applyAlignment="1" applyProtection="1">
      <alignment horizontal="left" vertical="top" wrapText="1"/>
      <protection hidden="1"/>
    </xf>
    <xf numFmtId="3" fontId="15" fillId="3" borderId="1" xfId="0" applyNumberFormat="1" applyFont="1" applyFill="1" applyBorder="1" applyAlignment="1"/>
    <xf numFmtId="0" fontId="14" fillId="0" borderId="1" xfId="0" applyFont="1" applyFill="1" applyBorder="1"/>
    <xf numFmtId="0" fontId="14" fillId="3" borderId="1" xfId="0" applyNumberFormat="1" applyFont="1" applyFill="1" applyBorder="1" applyAlignment="1" applyProtection="1">
      <alignment horizontal="left" vertical="top" wrapText="1"/>
      <protection hidden="1"/>
    </xf>
    <xf numFmtId="0" fontId="29" fillId="0" borderId="1" xfId="0" applyFont="1" applyFill="1" applyBorder="1" applyAlignment="1" applyProtection="1">
      <alignment horizontal="left" vertical="top" wrapText="1"/>
      <protection hidden="1"/>
    </xf>
    <xf numFmtId="0" fontId="14" fillId="0" borderId="4" xfId="3" applyFont="1" applyFill="1" applyBorder="1" applyAlignment="1">
      <alignment horizontal="left" vertical="top" wrapText="1"/>
    </xf>
    <xf numFmtId="0" fontId="23" fillId="0" borderId="5" xfId="0" applyNumberFormat="1" applyFont="1" applyFill="1" applyBorder="1" applyAlignment="1" applyProtection="1">
      <alignment horizontal="left" vertical="top" wrapText="1"/>
      <protection hidden="1"/>
    </xf>
    <xf numFmtId="0" fontId="27" fillId="0" borderId="1" xfId="3" applyNumberFormat="1" applyFont="1" applyFill="1" applyBorder="1" applyAlignment="1" applyProtection="1">
      <alignment horizontal="left" vertical="top" wrapText="1"/>
      <protection hidden="1"/>
    </xf>
    <xf numFmtId="0" fontId="27" fillId="0" borderId="1" xfId="2" applyNumberFormat="1" applyFont="1" applyFill="1" applyBorder="1" applyAlignment="1" applyProtection="1">
      <alignment horizontal="left" vertical="top" wrapText="1"/>
      <protection hidden="1"/>
    </xf>
    <xf numFmtId="3" fontId="26" fillId="0" borderId="1" xfId="5" applyNumberFormat="1" applyFont="1" applyFill="1" applyBorder="1" applyAlignment="1" applyProtection="1">
      <alignment wrapText="1"/>
      <protection hidden="1"/>
    </xf>
    <xf numFmtId="0" fontId="27" fillId="0" borderId="1" xfId="3" applyNumberFormat="1" applyFont="1" applyFill="1" applyBorder="1" applyAlignment="1" applyProtection="1">
      <alignment horizontal="left" vertical="top" wrapText="1"/>
    </xf>
    <xf numFmtId="3" fontId="26" fillId="0" borderId="1" xfId="3" applyNumberFormat="1" applyFont="1" applyFill="1" applyBorder="1" applyAlignment="1" applyProtection="1">
      <alignment wrapText="1"/>
      <protection hidden="1"/>
    </xf>
    <xf numFmtId="0" fontId="18" fillId="0" borderId="1" xfId="0" applyFont="1" applyFill="1" applyBorder="1" applyAlignment="1">
      <alignment horizontal="left" vertical="top"/>
    </xf>
    <xf numFmtId="3" fontId="15" fillId="4" borderId="1" xfId="0" applyNumberFormat="1" applyFont="1" applyFill="1" applyBorder="1" applyAlignment="1">
      <alignment wrapText="1"/>
    </xf>
    <xf numFmtId="0" fontId="14" fillId="3" borderId="1" xfId="3" applyNumberFormat="1" applyFont="1" applyFill="1" applyBorder="1" applyAlignment="1" applyProtection="1">
      <alignment horizontal="left" vertical="top" wrapText="1"/>
      <protection hidden="1"/>
    </xf>
    <xf numFmtId="0" fontId="14" fillId="0" borderId="2" xfId="3" applyNumberFormat="1" applyFont="1" applyFill="1" applyBorder="1" applyAlignment="1" applyProtection="1">
      <alignment vertical="center" wrapText="1"/>
      <protection hidden="1"/>
    </xf>
    <xf numFmtId="0" fontId="14" fillId="0" borderId="4" xfId="3" applyNumberFormat="1" applyFont="1" applyFill="1" applyBorder="1" applyAlignment="1" applyProtection="1">
      <alignment horizontal="left" vertical="top" wrapText="1"/>
      <protection hidden="1"/>
    </xf>
    <xf numFmtId="0" fontId="23" fillId="0" borderId="1" xfId="0" applyFont="1" applyFill="1" applyBorder="1" applyAlignment="1">
      <alignment horizontal="left" wrapText="1"/>
    </xf>
    <xf numFmtId="3" fontId="15" fillId="0" borderId="1" xfId="0" applyNumberFormat="1" applyFont="1" applyFill="1" applyBorder="1" applyAlignment="1">
      <alignment horizontal="right"/>
    </xf>
    <xf numFmtId="0" fontId="13" fillId="0" borderId="1" xfId="0" applyFont="1" applyFill="1" applyBorder="1" applyAlignment="1">
      <alignment horizontal="left" vertical="top" wrapText="1"/>
    </xf>
    <xf numFmtId="0" fontId="13" fillId="2" borderId="1" xfId="0" applyNumberFormat="1" applyFont="1" applyFill="1" applyBorder="1" applyAlignment="1" applyProtection="1">
      <alignment horizontal="left" vertical="top" wrapText="1"/>
      <protection hidden="1"/>
    </xf>
    <xf numFmtId="3" fontId="0" fillId="6" borderId="0" xfId="0" applyNumberFormat="1" applyFill="1"/>
    <xf numFmtId="0" fontId="23" fillId="3" borderId="1" xfId="3" applyNumberFormat="1" applyFont="1" applyFill="1" applyBorder="1" applyAlignment="1" applyProtection="1">
      <alignment horizontal="left" vertical="top" wrapText="1"/>
    </xf>
    <xf numFmtId="0" fontId="22" fillId="3" borderId="1" xfId="0" applyFont="1" applyFill="1" applyBorder="1" applyAlignment="1" applyProtection="1">
      <alignment horizontal="left" vertical="top" wrapText="1"/>
      <protection hidden="1"/>
    </xf>
    <xf numFmtId="0" fontId="23" fillId="3" borderId="1" xfId="0" applyNumberFormat="1" applyFont="1" applyFill="1" applyBorder="1" applyAlignment="1" applyProtection="1">
      <alignment horizontal="left" vertical="top" wrapText="1"/>
      <protection hidden="1"/>
    </xf>
    <xf numFmtId="3" fontId="24" fillId="3" borderId="1" xfId="3" applyNumberFormat="1" applyFont="1" applyFill="1" applyBorder="1" applyAlignment="1" applyProtection="1">
      <alignment wrapText="1"/>
      <protection hidden="1"/>
    </xf>
    <xf numFmtId="49" fontId="30" fillId="3" borderId="0" xfId="0" applyNumberFormat="1" applyFont="1" applyFill="1"/>
    <xf numFmtId="0" fontId="32" fillId="3" borderId="0" xfId="0" applyFont="1" applyFill="1" applyAlignment="1">
      <alignment horizontal="left" vertical="top"/>
    </xf>
    <xf numFmtId="0" fontId="23" fillId="3" borderId="0" xfId="0" applyFont="1" applyFill="1"/>
    <xf numFmtId="0" fontId="24" fillId="3" borderId="0" xfId="0" applyNumberFormat="1" applyFont="1" applyFill="1" applyAlignment="1">
      <alignment horizontal="right"/>
    </xf>
    <xf numFmtId="0" fontId="23" fillId="3" borderId="0" xfId="0" applyFont="1" applyFill="1" applyBorder="1"/>
    <xf numFmtId="0" fontId="24" fillId="3" borderId="0" xfId="0" applyNumberFormat="1" applyFont="1" applyFill="1" applyAlignment="1">
      <alignment horizontal="right" wrapText="1"/>
    </xf>
    <xf numFmtId="0" fontId="23" fillId="3" borderId="0" xfId="0" applyFont="1" applyFill="1" applyAlignment="1">
      <alignment horizontal="right" wrapText="1"/>
    </xf>
    <xf numFmtId="0" fontId="28" fillId="3" borderId="0" xfId="0" applyFont="1" applyFill="1" applyAlignment="1">
      <alignment vertical="top"/>
    </xf>
    <xf numFmtId="0" fontId="23" fillId="3" borderId="0" xfId="0" applyFont="1" applyFill="1" applyAlignment="1">
      <alignment horizontal="right" vertical="top"/>
    </xf>
    <xf numFmtId="49" fontId="30" fillId="3" borderId="1" xfId="4" applyNumberFormat="1" applyFont="1" applyFill="1" applyBorder="1" applyAlignment="1" applyProtection="1">
      <alignment horizontal="center" wrapText="1"/>
      <protection hidden="1"/>
    </xf>
    <xf numFmtId="0" fontId="30" fillId="3" borderId="1" xfId="1" applyNumberFormat="1" applyFont="1" applyFill="1" applyBorder="1" applyAlignment="1" applyProtection="1">
      <alignment horizontal="left" vertical="top" wrapText="1"/>
      <protection hidden="1"/>
    </xf>
    <xf numFmtId="3" fontId="34" fillId="3" borderId="1" xfId="0" applyNumberFormat="1" applyFont="1" applyFill="1" applyBorder="1" applyAlignment="1"/>
    <xf numFmtId="165" fontId="23" fillId="3" borderId="1" xfId="1" applyNumberFormat="1" applyFont="1" applyFill="1" applyBorder="1" applyAlignment="1" applyProtection="1">
      <alignment horizontal="left" vertical="top" wrapText="1"/>
      <protection hidden="1"/>
    </xf>
    <xf numFmtId="0" fontId="30" fillId="3" borderId="1" xfId="3" applyNumberFormat="1" applyFont="1" applyFill="1" applyBorder="1" applyAlignment="1" applyProtection="1">
      <alignment horizontal="left" vertical="top" wrapText="1"/>
      <protection hidden="1"/>
    </xf>
    <xf numFmtId="0" fontId="22" fillId="3" borderId="1" xfId="3" applyNumberFormat="1" applyFont="1" applyFill="1" applyBorder="1" applyAlignment="1" applyProtection="1">
      <alignment horizontal="left" vertical="top" wrapText="1"/>
      <protection hidden="1"/>
    </xf>
    <xf numFmtId="3" fontId="25" fillId="3" borderId="1" xfId="0" applyNumberFormat="1" applyFont="1" applyFill="1" applyBorder="1" applyAlignment="1"/>
    <xf numFmtId="3" fontId="24" fillId="3" borderId="1" xfId="0" applyNumberFormat="1" applyFont="1" applyFill="1" applyBorder="1" applyAlignment="1"/>
    <xf numFmtId="0" fontId="30" fillId="3" borderId="1" xfId="3" applyNumberFormat="1" applyFont="1" applyFill="1" applyBorder="1" applyAlignment="1" applyProtection="1">
      <alignment horizontal="left" vertical="top" wrapText="1"/>
    </xf>
    <xf numFmtId="3" fontId="34" fillId="3" borderId="1" xfId="0" applyNumberFormat="1" applyFont="1" applyFill="1" applyBorder="1" applyAlignment="1" applyProtection="1"/>
    <xf numFmtId="0" fontId="23" fillId="3" borderId="1" xfId="3" applyFont="1" applyFill="1" applyBorder="1" applyAlignment="1">
      <alignment horizontal="left" vertical="top" wrapText="1"/>
    </xf>
    <xf numFmtId="3" fontId="25" fillId="3" borderId="1" xfId="0" applyNumberFormat="1" applyFont="1" applyFill="1" applyBorder="1" applyAlignment="1" applyProtection="1"/>
    <xf numFmtId="0" fontId="23" fillId="3" borderId="0" xfId="3" applyFont="1" applyFill="1" applyBorder="1" applyAlignment="1">
      <alignment horizontal="left" vertical="top" wrapText="1"/>
    </xf>
    <xf numFmtId="0" fontId="23" fillId="3" borderId="0" xfId="0" applyFont="1" applyFill="1" applyBorder="1" applyAlignment="1">
      <alignment horizontal="left" vertical="top" wrapText="1"/>
    </xf>
    <xf numFmtId="0" fontId="23" fillId="3" borderId="1" xfId="0" applyFont="1" applyFill="1" applyBorder="1" applyAlignment="1" applyProtection="1">
      <alignment horizontal="left" vertical="top" wrapText="1"/>
    </xf>
    <xf numFmtId="3" fontId="23" fillId="3" borderId="1" xfId="3" applyNumberFormat="1" applyFont="1" applyFill="1" applyBorder="1" applyAlignment="1" applyProtection="1">
      <alignment horizontal="left" vertical="top" wrapText="1"/>
      <protection hidden="1"/>
    </xf>
    <xf numFmtId="3" fontId="24" fillId="3" borderId="1" xfId="0" applyNumberFormat="1" applyFont="1" applyFill="1" applyBorder="1" applyAlignment="1" applyProtection="1">
      <alignment wrapText="1"/>
      <protection hidden="1"/>
    </xf>
    <xf numFmtId="3" fontId="34" fillId="3" borderId="1" xfId="0" applyNumberFormat="1" applyFont="1" applyFill="1" applyBorder="1" applyAlignment="1" applyProtection="1">
      <alignment wrapText="1"/>
      <protection hidden="1"/>
    </xf>
    <xf numFmtId="49" fontId="22" fillId="3" borderId="1" xfId="4" applyNumberFormat="1" applyFont="1" applyFill="1" applyBorder="1" applyAlignment="1" applyProtection="1">
      <alignment horizontal="center" wrapText="1"/>
      <protection hidden="1"/>
    </xf>
    <xf numFmtId="3" fontId="25" fillId="3" borderId="1" xfId="0" applyNumberFormat="1" applyFont="1" applyFill="1" applyBorder="1" applyAlignment="1" applyProtection="1">
      <alignment wrapText="1"/>
      <protection hidden="1"/>
    </xf>
    <xf numFmtId="0" fontId="22" fillId="3" borderId="0" xfId="0" applyFont="1" applyFill="1" applyBorder="1"/>
    <xf numFmtId="0" fontId="22" fillId="3" borderId="0" xfId="0" applyFont="1" applyFill="1"/>
    <xf numFmtId="0" fontId="23" fillId="3" borderId="1" xfId="3" applyNumberFormat="1" applyFont="1" applyFill="1" applyBorder="1" applyAlignment="1" applyProtection="1">
      <alignment horizontal="left" vertical="top"/>
    </xf>
    <xf numFmtId="3" fontId="24" fillId="3" borderId="1" xfId="0" applyNumberFormat="1" applyFont="1" applyFill="1" applyBorder="1" applyAlignment="1" applyProtection="1">
      <alignment horizontal="right" wrapText="1"/>
      <protection hidden="1"/>
    </xf>
    <xf numFmtId="0" fontId="23" fillId="3" borderId="0" xfId="0" applyFont="1" applyFill="1" applyBorder="1" applyAlignment="1">
      <alignment vertical="justify"/>
    </xf>
    <xf numFmtId="0" fontId="23" fillId="3" borderId="0" xfId="0" applyFont="1" applyFill="1" applyBorder="1" applyAlignment="1" applyProtection="1">
      <alignment horizontal="left" vertical="top" wrapText="1"/>
    </xf>
    <xf numFmtId="49" fontId="35" fillId="3" borderId="1" xfId="4" applyNumberFormat="1" applyFont="1" applyFill="1" applyBorder="1" applyAlignment="1" applyProtection="1">
      <alignment horizontal="center" wrapText="1"/>
      <protection hidden="1"/>
    </xf>
    <xf numFmtId="0" fontId="23" fillId="3" borderId="1" xfId="3" quotePrefix="1" applyNumberFormat="1" applyFont="1" applyFill="1" applyBorder="1" applyAlignment="1" applyProtection="1">
      <alignment horizontal="left" vertical="top" wrapText="1"/>
      <protection hidden="1"/>
    </xf>
    <xf numFmtId="0" fontId="23" fillId="3" borderId="0" xfId="0" quotePrefix="1" applyFont="1" applyFill="1" applyBorder="1" applyAlignment="1" applyProtection="1">
      <alignment horizontal="left" vertical="top" wrapText="1"/>
      <protection hidden="1"/>
    </xf>
    <xf numFmtId="0" fontId="30" fillId="3" borderId="1" xfId="2" applyNumberFormat="1" applyFont="1" applyFill="1" applyBorder="1" applyAlignment="1" applyProtection="1">
      <alignment horizontal="left" vertical="top" wrapText="1"/>
      <protection hidden="1"/>
    </xf>
    <xf numFmtId="0" fontId="23" fillId="3" borderId="1" xfId="0" applyFont="1" applyFill="1" applyBorder="1" applyAlignment="1">
      <alignment horizontal="left" vertical="top"/>
    </xf>
    <xf numFmtId="0" fontId="22" fillId="3" borderId="1" xfId="2" applyNumberFormat="1" applyFont="1" applyFill="1" applyBorder="1" applyAlignment="1" applyProtection="1">
      <alignment horizontal="left" vertical="top" wrapText="1"/>
      <protection hidden="1"/>
    </xf>
    <xf numFmtId="3" fontId="24" fillId="3" borderId="1" xfId="0" applyNumberFormat="1" applyFont="1" applyFill="1" applyBorder="1" applyAlignment="1">
      <alignment horizontal="right"/>
    </xf>
    <xf numFmtId="3" fontId="25" fillId="3" borderId="1" xfId="0" applyNumberFormat="1" applyFont="1" applyFill="1" applyBorder="1" applyAlignment="1">
      <alignment wrapText="1"/>
    </xf>
    <xf numFmtId="0" fontId="22" fillId="3" borderId="1" xfId="0" applyFont="1" applyFill="1" applyBorder="1" applyAlignment="1">
      <alignment horizontal="left" vertical="top" wrapText="1"/>
    </xf>
    <xf numFmtId="3" fontId="25" fillId="3" borderId="1" xfId="0" applyNumberFormat="1" applyFont="1" applyFill="1" applyBorder="1" applyAlignment="1" applyProtection="1">
      <protection hidden="1"/>
    </xf>
    <xf numFmtId="3" fontId="24" fillId="3" borderId="1" xfId="0" applyNumberFormat="1" applyFont="1" applyFill="1" applyBorder="1" applyAlignment="1" applyProtection="1">
      <protection hidden="1"/>
    </xf>
    <xf numFmtId="0" fontId="30" fillId="3" borderId="1" xfId="2" applyNumberFormat="1" applyFont="1" applyFill="1" applyBorder="1" applyAlignment="1" applyProtection="1">
      <alignment horizontal="left" vertical="top" wrapText="1"/>
    </xf>
    <xf numFmtId="0" fontId="22" fillId="3" borderId="1" xfId="0" applyNumberFormat="1" applyFont="1" applyFill="1" applyBorder="1" applyAlignment="1" applyProtection="1">
      <alignment horizontal="left" vertical="top" wrapText="1"/>
      <protection hidden="1"/>
    </xf>
    <xf numFmtId="3" fontId="24" fillId="3" borderId="1" xfId="0" applyNumberFormat="1" applyFont="1" applyFill="1" applyBorder="1" applyAlignment="1">
      <alignment wrapText="1"/>
    </xf>
    <xf numFmtId="0" fontId="23" fillId="3" borderId="0" xfId="0" applyFont="1" applyFill="1" applyBorder="1" applyAlignment="1">
      <alignment wrapText="1"/>
    </xf>
    <xf numFmtId="0" fontId="23" fillId="3" borderId="0" xfId="0" applyFont="1" applyFill="1" applyBorder="1" applyAlignment="1"/>
    <xf numFmtId="3" fontId="24" fillId="3" borderId="1" xfId="0" applyNumberFormat="1" applyFont="1" applyFill="1" applyBorder="1" applyAlignment="1" applyProtection="1"/>
    <xf numFmtId="0" fontId="23" fillId="3" borderId="1" xfId="0" applyFont="1" applyFill="1" applyBorder="1" applyAlignment="1" applyProtection="1">
      <alignment horizontal="left" vertical="top" wrapText="1"/>
      <protection hidden="1"/>
    </xf>
    <xf numFmtId="0" fontId="30" fillId="3" borderId="1" xfId="7" applyNumberFormat="1" applyFont="1" applyFill="1" applyBorder="1" applyAlignment="1" applyProtection="1">
      <alignment horizontal="left" vertical="top" wrapText="1"/>
      <protection hidden="1"/>
    </xf>
    <xf numFmtId="0" fontId="30" fillId="3" borderId="1" xfId="5" applyNumberFormat="1" applyFont="1" applyFill="1" applyBorder="1" applyAlignment="1" applyProtection="1">
      <alignment horizontal="left" vertical="top" wrapText="1"/>
      <protection hidden="1"/>
    </xf>
    <xf numFmtId="0" fontId="22" fillId="3" borderId="1" xfId="5" applyNumberFormat="1" applyFont="1" applyFill="1" applyBorder="1" applyAlignment="1" applyProtection="1">
      <alignment horizontal="left" vertical="top" wrapText="1"/>
      <protection hidden="1"/>
    </xf>
    <xf numFmtId="0" fontId="23" fillId="3" borderId="1" xfId="5" applyNumberFormat="1" applyFont="1" applyFill="1" applyBorder="1" applyAlignment="1" applyProtection="1">
      <alignment horizontal="left" vertical="top" wrapText="1"/>
      <protection hidden="1"/>
    </xf>
    <xf numFmtId="3" fontId="24" fillId="3" borderId="1" xfId="6" applyNumberFormat="1" applyFont="1" applyFill="1" applyBorder="1" applyAlignment="1" applyProtection="1">
      <alignment wrapText="1"/>
      <protection hidden="1"/>
    </xf>
    <xf numFmtId="166" fontId="24" fillId="3" borderId="1" xfId="0" applyNumberFormat="1" applyFont="1" applyFill="1" applyBorder="1" applyAlignment="1">
      <alignment wrapText="1"/>
    </xf>
    <xf numFmtId="0" fontId="30" fillId="3" borderId="1" xfId="0" applyFont="1" applyFill="1" applyBorder="1" applyAlignment="1">
      <alignment horizontal="left" vertical="top" wrapText="1"/>
    </xf>
    <xf numFmtId="166" fontId="25" fillId="3" borderId="1" xfId="0" applyNumberFormat="1" applyFont="1" applyFill="1" applyBorder="1" applyAlignment="1">
      <alignment wrapText="1"/>
    </xf>
    <xf numFmtId="0" fontId="30" fillId="3" borderId="1" xfId="8" applyNumberFormat="1" applyFont="1" applyFill="1" applyBorder="1" applyAlignment="1" applyProtection="1">
      <alignment horizontal="left" vertical="top" wrapText="1"/>
      <protection hidden="1"/>
    </xf>
    <xf numFmtId="0" fontId="23" fillId="3" borderId="1" xfId="8" applyNumberFormat="1" applyFont="1" applyFill="1" applyBorder="1" applyAlignment="1" applyProtection="1">
      <alignment horizontal="left" vertical="top" wrapText="1"/>
      <protection hidden="1"/>
    </xf>
    <xf numFmtId="0" fontId="23" fillId="3" borderId="1" xfId="0" applyFont="1" applyFill="1" applyBorder="1" applyAlignment="1" applyProtection="1">
      <alignment horizontal="center"/>
    </xf>
    <xf numFmtId="49" fontId="30" fillId="3" borderId="1" xfId="3" applyNumberFormat="1" applyFont="1" applyFill="1" applyBorder="1" applyAlignment="1" applyProtection="1">
      <alignment horizontal="center"/>
    </xf>
    <xf numFmtId="49" fontId="30" fillId="3" borderId="1" xfId="3" applyNumberFormat="1" applyFont="1" applyFill="1" applyBorder="1" applyAlignment="1" applyProtection="1">
      <alignment horizontal="center" wrapText="1"/>
      <protection hidden="1"/>
    </xf>
    <xf numFmtId="0" fontId="23" fillId="3" borderId="1" xfId="2" applyNumberFormat="1" applyFont="1" applyFill="1" applyBorder="1" applyAlignment="1" applyProtection="1">
      <alignment horizontal="left" vertical="top" wrapText="1"/>
      <protection hidden="1"/>
    </xf>
    <xf numFmtId="0" fontId="23" fillId="3" borderId="0" xfId="0" applyFont="1" applyFill="1" applyBorder="1" applyAlignment="1" applyProtection="1">
      <alignment horizontal="left" vertical="top" wrapText="1"/>
      <protection hidden="1"/>
    </xf>
    <xf numFmtId="49" fontId="30" fillId="3" borderId="1" xfId="0" applyNumberFormat="1" applyFont="1" applyFill="1" applyBorder="1" applyAlignment="1">
      <alignment horizontal="left" vertical="top" wrapText="1"/>
    </xf>
    <xf numFmtId="49" fontId="22" fillId="3" borderId="1" xfId="3" applyNumberFormat="1" applyFont="1" applyFill="1" applyBorder="1" applyAlignment="1" applyProtection="1">
      <alignment horizontal="left" vertical="top" wrapText="1"/>
      <protection hidden="1"/>
    </xf>
    <xf numFmtId="0" fontId="24" fillId="3" borderId="1" xfId="3" applyNumberFormat="1" applyFont="1" applyFill="1" applyBorder="1" applyAlignment="1" applyProtection="1">
      <alignment wrapText="1"/>
      <protection hidden="1"/>
    </xf>
    <xf numFmtId="166" fontId="23" fillId="3" borderId="1" xfId="2" applyNumberFormat="1" applyFont="1" applyFill="1" applyBorder="1" applyAlignment="1" applyProtection="1">
      <alignment horizontal="left" vertical="top" wrapText="1"/>
      <protection hidden="1"/>
    </xf>
    <xf numFmtId="3" fontId="23" fillId="3" borderId="1" xfId="0" applyNumberFormat="1" applyFont="1" applyFill="1" applyBorder="1" applyAlignment="1">
      <alignment horizontal="left" vertical="top" wrapText="1"/>
    </xf>
    <xf numFmtId="3" fontId="34" fillId="3" borderId="1" xfId="5" applyNumberFormat="1" applyFont="1" applyFill="1" applyBorder="1" applyAlignment="1" applyProtection="1">
      <alignment wrapText="1"/>
      <protection hidden="1"/>
    </xf>
    <xf numFmtId="3" fontId="24" fillId="3" borderId="1" xfId="3" applyNumberFormat="1" applyFont="1" applyFill="1" applyBorder="1" applyAlignment="1" applyProtection="1">
      <alignment vertical="top" wrapText="1"/>
      <protection hidden="1"/>
    </xf>
    <xf numFmtId="3" fontId="25" fillId="3" borderId="1" xfId="3" applyNumberFormat="1" applyFont="1" applyFill="1" applyBorder="1" applyAlignment="1" applyProtection="1">
      <alignment wrapText="1"/>
      <protection hidden="1"/>
    </xf>
    <xf numFmtId="49" fontId="23" fillId="3" borderId="1" xfId="4" applyNumberFormat="1" applyFont="1" applyFill="1" applyBorder="1" applyAlignment="1" applyProtection="1">
      <alignment horizontal="center" wrapText="1"/>
      <protection hidden="1"/>
    </xf>
    <xf numFmtId="49" fontId="23" fillId="3" borderId="1" xfId="3" applyNumberFormat="1" applyFont="1" applyFill="1" applyBorder="1" applyAlignment="1" applyProtection="1">
      <alignment horizontal="center" wrapText="1"/>
      <protection hidden="1"/>
    </xf>
    <xf numFmtId="49" fontId="23" fillId="3" borderId="1" xfId="0" applyNumberFormat="1" applyFont="1" applyFill="1" applyBorder="1" applyAlignment="1">
      <alignment horizontal="center"/>
    </xf>
    <xf numFmtId="165" fontId="23" fillId="3" borderId="1" xfId="0" applyNumberFormat="1" applyFont="1" applyFill="1" applyBorder="1" applyAlignment="1" applyProtection="1">
      <alignment horizontal="left" vertical="top"/>
    </xf>
    <xf numFmtId="3" fontId="34" fillId="3" borderId="1" xfId="3" applyNumberFormat="1" applyFont="1" applyFill="1" applyBorder="1" applyAlignment="1" applyProtection="1">
      <alignment wrapText="1"/>
      <protection hidden="1"/>
    </xf>
    <xf numFmtId="3" fontId="34" fillId="3" borderId="1" xfId="3" applyNumberFormat="1" applyFont="1" applyFill="1" applyBorder="1" applyAlignment="1" applyProtection="1"/>
    <xf numFmtId="3" fontId="34" fillId="3" borderId="1" xfId="6" applyNumberFormat="1" applyFont="1" applyFill="1" applyBorder="1" applyAlignment="1"/>
    <xf numFmtId="3" fontId="24" fillId="3" borderId="1" xfId="6" applyNumberFormat="1" applyFont="1" applyFill="1" applyBorder="1" applyAlignment="1"/>
    <xf numFmtId="3" fontId="24" fillId="3" borderId="1" xfId="3" applyNumberFormat="1" applyFont="1" applyFill="1" applyBorder="1" applyAlignment="1" applyProtection="1">
      <alignment horizontal="right" wrapText="1"/>
      <protection hidden="1"/>
    </xf>
    <xf numFmtId="3" fontId="24" fillId="3" borderId="1" xfId="3" applyNumberFormat="1" applyFont="1" applyFill="1" applyBorder="1" applyAlignment="1" applyProtection="1"/>
    <xf numFmtId="49" fontId="23" fillId="3" borderId="1" xfId="0" applyNumberFormat="1" applyFont="1" applyFill="1" applyBorder="1" applyAlignment="1">
      <alignment horizontal="center" wrapText="1"/>
    </xf>
    <xf numFmtId="0" fontId="30" fillId="3" borderId="1" xfId="0" applyFont="1" applyFill="1" applyBorder="1" applyAlignment="1" applyProtection="1">
      <alignment horizontal="left" vertical="top" wrapText="1"/>
      <protection hidden="1"/>
    </xf>
    <xf numFmtId="4" fontId="23" fillId="3" borderId="1" xfId="0" applyNumberFormat="1" applyFont="1" applyFill="1" applyBorder="1" applyAlignment="1">
      <alignment horizontal="left" vertical="top" wrapText="1"/>
    </xf>
    <xf numFmtId="168" fontId="23" fillId="3" borderId="1" xfId="5" applyNumberFormat="1" applyFont="1" applyFill="1" applyBorder="1" applyAlignment="1" applyProtection="1">
      <alignment horizontal="left" vertical="top" wrapText="1"/>
      <protection hidden="1"/>
    </xf>
    <xf numFmtId="0" fontId="30" fillId="3" borderId="0" xfId="0" applyFont="1" applyFill="1" applyBorder="1"/>
    <xf numFmtId="0" fontId="30" fillId="3" borderId="0" xfId="0" applyFont="1" applyFill="1"/>
    <xf numFmtId="49" fontId="23" fillId="3" borderId="1" xfId="0" applyNumberFormat="1" applyFont="1" applyFill="1" applyBorder="1" applyAlignment="1">
      <alignment horizontal="left" vertical="top" wrapText="1"/>
    </xf>
    <xf numFmtId="3" fontId="23" fillId="3" borderId="1" xfId="0" applyNumberFormat="1" applyFont="1" applyFill="1" applyBorder="1" applyAlignment="1">
      <alignment horizontal="left" vertical="top"/>
    </xf>
    <xf numFmtId="3" fontId="24" fillId="3" borderId="1" xfId="0" applyNumberFormat="1" applyFont="1" applyFill="1" applyBorder="1" applyAlignment="1">
      <alignment vertical="top"/>
    </xf>
    <xf numFmtId="0" fontId="35" fillId="3" borderId="1" xfId="5" applyNumberFormat="1" applyFont="1" applyFill="1" applyBorder="1" applyAlignment="1" applyProtection="1">
      <alignment horizontal="left" vertical="top" wrapText="1"/>
      <protection hidden="1"/>
    </xf>
    <xf numFmtId="167" fontId="22" fillId="3" borderId="1" xfId="5" applyNumberFormat="1" applyFont="1" applyFill="1" applyBorder="1" applyAlignment="1" applyProtection="1">
      <alignment horizontal="left" vertical="top" wrapText="1"/>
      <protection hidden="1"/>
    </xf>
    <xf numFmtId="0" fontId="22" fillId="3" borderId="1" xfId="7" applyNumberFormat="1" applyFont="1" applyFill="1" applyBorder="1" applyAlignment="1" applyProtection="1">
      <alignment horizontal="left" vertical="top" wrapText="1"/>
      <protection hidden="1"/>
    </xf>
    <xf numFmtId="0" fontId="23" fillId="3" borderId="1" xfId="7" applyNumberFormat="1" applyFont="1" applyFill="1" applyBorder="1" applyAlignment="1" applyProtection="1">
      <alignment horizontal="left" vertical="top" wrapText="1"/>
      <protection hidden="1"/>
    </xf>
    <xf numFmtId="3" fontId="23" fillId="3" borderId="0" xfId="0" applyNumberFormat="1" applyFont="1" applyFill="1" applyBorder="1"/>
    <xf numFmtId="0" fontId="23" fillId="3" borderId="1" xfId="0" applyNumberFormat="1" applyFont="1" applyFill="1" applyBorder="1" applyAlignment="1">
      <alignment horizontal="left" vertical="top" wrapText="1"/>
    </xf>
    <xf numFmtId="49" fontId="23" fillId="3" borderId="1" xfId="5" applyNumberFormat="1" applyFont="1" applyFill="1" applyBorder="1" applyAlignment="1">
      <alignment horizontal="left" vertical="top" wrapText="1"/>
    </xf>
    <xf numFmtId="0" fontId="22" fillId="3" borderId="1" xfId="8" applyNumberFormat="1" applyFont="1" applyFill="1" applyBorder="1" applyAlignment="1" applyProtection="1">
      <alignment horizontal="left" vertical="top" wrapText="1"/>
      <protection hidden="1"/>
    </xf>
    <xf numFmtId="3" fontId="25" fillId="3" borderId="1" xfId="0" applyNumberFormat="1" applyFont="1" applyFill="1" applyBorder="1" applyAlignment="1">
      <alignment horizontal="right" wrapText="1"/>
    </xf>
    <xf numFmtId="0" fontId="22" fillId="3" borderId="1" xfId="9" applyFont="1" applyFill="1" applyBorder="1" applyAlignment="1">
      <alignment horizontal="left" vertical="top" wrapText="1"/>
    </xf>
    <xf numFmtId="3" fontId="34" fillId="3" borderId="0" xfId="0" applyNumberFormat="1" applyFont="1" applyFill="1" applyBorder="1" applyAlignment="1"/>
    <xf numFmtId="0" fontId="30" fillId="3" borderId="1" xfId="0" applyFont="1" applyFill="1" applyBorder="1" applyAlignment="1">
      <alignment horizontal="left" vertical="top"/>
    </xf>
    <xf numFmtId="0" fontId="23" fillId="3" borderId="0" xfId="0" applyFont="1" applyFill="1" applyAlignment="1">
      <alignment vertical="top"/>
    </xf>
    <xf numFmtId="0" fontId="23" fillId="3" borderId="1" xfId="0" applyFont="1" applyFill="1" applyBorder="1" applyAlignment="1">
      <alignment vertical="top" wrapText="1"/>
    </xf>
    <xf numFmtId="3" fontId="23" fillId="3" borderId="0" xfId="0" applyNumberFormat="1" applyFont="1" applyFill="1"/>
    <xf numFmtId="49" fontId="13" fillId="7" borderId="1" xfId="4" applyNumberFormat="1" applyFont="1" applyFill="1" applyBorder="1" applyAlignment="1" applyProtection="1">
      <alignment horizontal="center" wrapText="1"/>
      <protection hidden="1"/>
    </xf>
    <xf numFmtId="3" fontId="15" fillId="7" borderId="1" xfId="0" applyNumberFormat="1" applyFont="1" applyFill="1" applyBorder="1" applyAlignment="1"/>
    <xf numFmtId="49" fontId="13" fillId="3" borderId="1" xfId="4" applyNumberFormat="1" applyFont="1" applyFill="1" applyBorder="1" applyAlignment="1" applyProtection="1">
      <alignment horizontal="center" wrapText="1"/>
      <protection hidden="1"/>
    </xf>
    <xf numFmtId="3" fontId="24" fillId="3" borderId="0" xfId="0" applyNumberFormat="1" applyFont="1" applyFill="1" applyBorder="1" applyAlignment="1">
      <alignment wrapText="1"/>
    </xf>
    <xf numFmtId="0" fontId="23" fillId="3" borderId="1" xfId="0" applyFont="1" applyFill="1" applyBorder="1" applyAlignment="1">
      <alignment horizontal="left" vertical="top" wrapText="1"/>
    </xf>
    <xf numFmtId="0" fontId="24" fillId="3" borderId="1" xfId="0" applyFont="1" applyFill="1" applyBorder="1" applyAlignment="1">
      <alignment horizontal="center" vertical="center" wrapText="1"/>
    </xf>
    <xf numFmtId="0" fontId="23" fillId="3" borderId="1" xfId="0" applyFont="1" applyFill="1" applyBorder="1" applyAlignment="1">
      <alignment horizontal="left" vertical="top" wrapText="1"/>
    </xf>
    <xf numFmtId="0" fontId="30" fillId="0" borderId="1" xfId="2" applyNumberFormat="1" applyFont="1" applyFill="1" applyBorder="1" applyAlignment="1" applyProtection="1">
      <alignment horizontal="left" vertical="top" wrapText="1"/>
      <protection hidden="1"/>
    </xf>
    <xf numFmtId="0" fontId="30" fillId="0" borderId="1" xfId="3" applyNumberFormat="1" applyFont="1" applyFill="1" applyBorder="1" applyAlignment="1" applyProtection="1">
      <alignment horizontal="left" vertical="top" wrapText="1"/>
      <protection hidden="1"/>
    </xf>
    <xf numFmtId="0" fontId="22" fillId="0" borderId="1" xfId="3" applyNumberFormat="1" applyFont="1" applyFill="1" applyBorder="1" applyAlignment="1" applyProtection="1">
      <alignment horizontal="left" vertical="top" wrapText="1"/>
      <protection hidden="1"/>
    </xf>
    <xf numFmtId="0" fontId="23" fillId="3" borderId="7" xfId="0" applyFont="1" applyFill="1" applyBorder="1" applyAlignment="1" applyProtection="1">
      <alignment horizontal="left" vertical="top" wrapText="1"/>
      <protection hidden="1"/>
    </xf>
    <xf numFmtId="0" fontId="23" fillId="3" borderId="1" xfId="5" applyNumberFormat="1" applyFont="1" applyFill="1" applyBorder="1" applyAlignment="1" applyProtection="1">
      <alignment vertical="top" wrapText="1"/>
      <protection hidden="1"/>
    </xf>
    <xf numFmtId="0" fontId="23" fillId="7" borderId="1" xfId="5" applyNumberFormat="1" applyFont="1" applyFill="1" applyBorder="1" applyAlignment="1" applyProtection="1">
      <alignment vertical="top" wrapText="1"/>
      <protection hidden="1"/>
    </xf>
    <xf numFmtId="0" fontId="23" fillId="3" borderId="1" xfId="0" applyFont="1" applyFill="1" applyBorder="1"/>
    <xf numFmtId="0" fontId="23" fillId="3" borderId="1" xfId="0" applyFont="1" applyFill="1" applyBorder="1" applyAlignment="1">
      <alignment horizontal="left" vertical="top" wrapText="1"/>
    </xf>
    <xf numFmtId="0" fontId="24" fillId="3" borderId="1" xfId="0" applyFont="1" applyFill="1" applyBorder="1" applyAlignment="1">
      <alignment horizontal="center" vertical="center" wrapText="1"/>
    </xf>
    <xf numFmtId="0" fontId="33" fillId="3" borderId="0" xfId="0" applyFont="1" applyFill="1" applyAlignment="1">
      <alignment horizontal="center" vertical="top" wrapText="1"/>
    </xf>
    <xf numFmtId="49" fontId="28" fillId="3" borderId="1" xfId="0" applyNumberFormat="1" applyFont="1" applyFill="1" applyBorder="1" applyAlignment="1">
      <alignment horizontal="center" vertical="center" wrapText="1"/>
    </xf>
    <xf numFmtId="0" fontId="23" fillId="3" borderId="1" xfId="0" applyFont="1" applyFill="1" applyBorder="1" applyAlignment="1">
      <alignment horizontal="center"/>
    </xf>
    <xf numFmtId="0" fontId="24" fillId="3" borderId="1" xfId="0" applyFont="1" applyFill="1" applyBorder="1" applyAlignment="1">
      <alignment horizontal="center" vertical="center"/>
    </xf>
    <xf numFmtId="0" fontId="28" fillId="3" borderId="1" xfId="0" applyFont="1" applyFill="1" applyBorder="1" applyAlignment="1">
      <alignment horizontal="center" vertical="center" wrapText="1"/>
    </xf>
    <xf numFmtId="0" fontId="14" fillId="0" borderId="2" xfId="3" applyNumberFormat="1" applyFont="1" applyFill="1" applyBorder="1" applyAlignment="1" applyProtection="1">
      <alignment horizontal="left" vertical="top" wrapText="1"/>
      <protection hidden="1"/>
    </xf>
    <xf numFmtId="0" fontId="14" fillId="0" borderId="6" xfId="3" applyNumberFormat="1" applyFont="1" applyFill="1" applyBorder="1" applyAlignment="1" applyProtection="1">
      <alignment horizontal="left" vertical="top" wrapText="1"/>
      <protection hidden="1"/>
    </xf>
    <xf numFmtId="0" fontId="14" fillId="0" borderId="3" xfId="3" applyNumberFormat="1" applyFont="1" applyFill="1" applyBorder="1" applyAlignment="1" applyProtection="1">
      <alignment horizontal="left" vertical="top" wrapText="1"/>
      <protection hidden="1"/>
    </xf>
    <xf numFmtId="49" fontId="1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14" fillId="3" borderId="1" xfId="0" applyFont="1" applyFill="1" applyBorder="1" applyAlignment="1">
      <alignment horizont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xf>
    <xf numFmtId="0" fontId="17" fillId="0" borderId="1" xfId="0" applyFont="1" applyFill="1" applyBorder="1" applyAlignment="1">
      <alignment horizontal="center" vertical="center" wrapText="1"/>
    </xf>
    <xf numFmtId="0" fontId="14" fillId="0" borderId="2" xfId="3" applyNumberFormat="1" applyFont="1" applyFill="1" applyBorder="1" applyAlignment="1" applyProtection="1">
      <alignment vertical="center" wrapText="1"/>
      <protection hidden="1"/>
    </xf>
    <xf numFmtId="0" fontId="14" fillId="0" borderId="3" xfId="3" applyNumberFormat="1" applyFont="1" applyFill="1" applyBorder="1" applyAlignment="1" applyProtection="1">
      <alignment vertical="center" wrapText="1"/>
      <protection hidden="1"/>
    </xf>
    <xf numFmtId="49" fontId="23" fillId="0" borderId="2" xfId="0" applyNumberFormat="1" applyFont="1" applyFill="1" applyBorder="1" applyAlignment="1">
      <alignment vertical="top" wrapText="1"/>
    </xf>
    <xf numFmtId="49" fontId="23" fillId="0" borderId="3" xfId="0" applyNumberFormat="1" applyFont="1" applyFill="1" applyBorder="1" applyAlignment="1">
      <alignment vertical="top" wrapText="1"/>
    </xf>
  </cellXfs>
  <cellStyles count="339">
    <cellStyle name="Обычный" xfId="0" builtinId="0"/>
    <cellStyle name="Обычный 2" xfId="5"/>
    <cellStyle name="Обычный 2 2" xfId="7"/>
    <cellStyle name="Обычный 3" xfId="9"/>
    <cellStyle name="Обычный 3 10" xfId="119"/>
    <cellStyle name="Обычный 3 11" xfId="229"/>
    <cellStyle name="Обычный 3 2" xfId="11"/>
    <cellStyle name="Обычный 3 2 2" xfId="14"/>
    <cellStyle name="Обычный 3 2 2 2" xfId="20"/>
    <cellStyle name="Обычный 3 2 2 2 2" xfId="32"/>
    <cellStyle name="Обычный 3 2 2 2 2 2" xfId="105"/>
    <cellStyle name="Обычный 3 2 2 2 2 2 2" xfId="215"/>
    <cellStyle name="Обычный 3 2 2 2 2 2 3" xfId="325"/>
    <cellStyle name="Обычный 3 2 2 2 2 3" xfId="68"/>
    <cellStyle name="Обычный 3 2 2 2 2 3 2" xfId="178"/>
    <cellStyle name="Обычный 3 2 2 2 2 3 3" xfId="288"/>
    <cellStyle name="Обычный 3 2 2 2 2 4" xfId="142"/>
    <cellStyle name="Обычный 3 2 2 2 2 5" xfId="252"/>
    <cellStyle name="Обычный 3 2 2 2 3" xfId="44"/>
    <cellStyle name="Обычный 3 2 2 2 3 2" xfId="117"/>
    <cellStyle name="Обычный 3 2 2 2 3 2 2" xfId="227"/>
    <cellStyle name="Обычный 3 2 2 2 3 2 3" xfId="337"/>
    <cellStyle name="Обычный 3 2 2 2 3 3" xfId="80"/>
    <cellStyle name="Обычный 3 2 2 2 3 3 2" xfId="190"/>
    <cellStyle name="Обычный 3 2 2 2 3 3 3" xfId="300"/>
    <cellStyle name="Обычный 3 2 2 2 3 4" xfId="154"/>
    <cellStyle name="Обычный 3 2 2 2 3 5" xfId="264"/>
    <cellStyle name="Обычный 3 2 2 2 4" xfId="93"/>
    <cellStyle name="Обычный 3 2 2 2 4 2" xfId="203"/>
    <cellStyle name="Обычный 3 2 2 2 4 3" xfId="313"/>
    <cellStyle name="Обычный 3 2 2 2 5" xfId="56"/>
    <cellStyle name="Обычный 3 2 2 2 5 2" xfId="166"/>
    <cellStyle name="Обычный 3 2 2 2 5 3" xfId="276"/>
    <cellStyle name="Обычный 3 2 2 2 6" xfId="130"/>
    <cellStyle name="Обычный 3 2 2 2 7" xfId="240"/>
    <cellStyle name="Обычный 3 2 2 3" xfId="26"/>
    <cellStyle name="Обычный 3 2 2 3 2" xfId="99"/>
    <cellStyle name="Обычный 3 2 2 3 2 2" xfId="209"/>
    <cellStyle name="Обычный 3 2 2 3 2 3" xfId="319"/>
    <cellStyle name="Обычный 3 2 2 3 3" xfId="62"/>
    <cellStyle name="Обычный 3 2 2 3 3 2" xfId="172"/>
    <cellStyle name="Обычный 3 2 2 3 3 3" xfId="282"/>
    <cellStyle name="Обычный 3 2 2 3 4" xfId="136"/>
    <cellStyle name="Обычный 3 2 2 3 5" xfId="246"/>
    <cellStyle name="Обычный 3 2 2 4" xfId="38"/>
    <cellStyle name="Обычный 3 2 2 4 2" xfId="111"/>
    <cellStyle name="Обычный 3 2 2 4 2 2" xfId="221"/>
    <cellStyle name="Обычный 3 2 2 4 2 3" xfId="331"/>
    <cellStyle name="Обычный 3 2 2 4 3" xfId="74"/>
    <cellStyle name="Обычный 3 2 2 4 3 2" xfId="184"/>
    <cellStyle name="Обычный 3 2 2 4 3 3" xfId="294"/>
    <cellStyle name="Обычный 3 2 2 4 4" xfId="148"/>
    <cellStyle name="Обычный 3 2 2 4 5" xfId="258"/>
    <cellStyle name="Обычный 3 2 2 5" xfId="87"/>
    <cellStyle name="Обычный 3 2 2 5 2" xfId="197"/>
    <cellStyle name="Обычный 3 2 2 5 3" xfId="307"/>
    <cellStyle name="Обычный 3 2 2 6" xfId="50"/>
    <cellStyle name="Обычный 3 2 2 6 2" xfId="160"/>
    <cellStyle name="Обычный 3 2 2 6 3" xfId="270"/>
    <cellStyle name="Обычный 3 2 2 7" xfId="124"/>
    <cellStyle name="Обычный 3 2 2 8" xfId="234"/>
    <cellStyle name="Обычный 3 2 3" xfId="17"/>
    <cellStyle name="Обычный 3 2 3 2" xfId="29"/>
    <cellStyle name="Обычный 3 2 3 2 2" xfId="102"/>
    <cellStyle name="Обычный 3 2 3 2 2 2" xfId="212"/>
    <cellStyle name="Обычный 3 2 3 2 2 3" xfId="322"/>
    <cellStyle name="Обычный 3 2 3 2 3" xfId="65"/>
    <cellStyle name="Обычный 3 2 3 2 3 2" xfId="175"/>
    <cellStyle name="Обычный 3 2 3 2 3 3" xfId="285"/>
    <cellStyle name="Обычный 3 2 3 2 4" xfId="139"/>
    <cellStyle name="Обычный 3 2 3 2 5" xfId="249"/>
    <cellStyle name="Обычный 3 2 3 3" xfId="41"/>
    <cellStyle name="Обычный 3 2 3 3 2" xfId="114"/>
    <cellStyle name="Обычный 3 2 3 3 2 2" xfId="224"/>
    <cellStyle name="Обычный 3 2 3 3 2 3" xfId="334"/>
    <cellStyle name="Обычный 3 2 3 3 3" xfId="77"/>
    <cellStyle name="Обычный 3 2 3 3 3 2" xfId="187"/>
    <cellStyle name="Обычный 3 2 3 3 3 3" xfId="297"/>
    <cellStyle name="Обычный 3 2 3 3 4" xfId="151"/>
    <cellStyle name="Обычный 3 2 3 3 5" xfId="261"/>
    <cellStyle name="Обычный 3 2 3 4" xfId="90"/>
    <cellStyle name="Обычный 3 2 3 4 2" xfId="200"/>
    <cellStyle name="Обычный 3 2 3 4 3" xfId="310"/>
    <cellStyle name="Обычный 3 2 3 5" xfId="53"/>
    <cellStyle name="Обычный 3 2 3 5 2" xfId="163"/>
    <cellStyle name="Обычный 3 2 3 5 3" xfId="273"/>
    <cellStyle name="Обычный 3 2 3 6" xfId="127"/>
    <cellStyle name="Обычный 3 2 3 7" xfId="237"/>
    <cellStyle name="Обычный 3 2 4" xfId="23"/>
    <cellStyle name="Обычный 3 2 4 2" xfId="96"/>
    <cellStyle name="Обычный 3 2 4 2 2" xfId="206"/>
    <cellStyle name="Обычный 3 2 4 2 3" xfId="316"/>
    <cellStyle name="Обычный 3 2 4 3" xfId="59"/>
    <cellStyle name="Обычный 3 2 4 3 2" xfId="169"/>
    <cellStyle name="Обычный 3 2 4 3 3" xfId="279"/>
    <cellStyle name="Обычный 3 2 4 4" xfId="133"/>
    <cellStyle name="Обычный 3 2 4 5" xfId="243"/>
    <cellStyle name="Обычный 3 2 5" xfId="35"/>
    <cellStyle name="Обычный 3 2 5 2" xfId="108"/>
    <cellStyle name="Обычный 3 2 5 2 2" xfId="218"/>
    <cellStyle name="Обычный 3 2 5 2 3" xfId="328"/>
    <cellStyle name="Обычный 3 2 5 3" xfId="71"/>
    <cellStyle name="Обычный 3 2 5 3 2" xfId="181"/>
    <cellStyle name="Обычный 3 2 5 3 3" xfId="291"/>
    <cellStyle name="Обычный 3 2 5 4" xfId="145"/>
    <cellStyle name="Обычный 3 2 5 5" xfId="255"/>
    <cellStyle name="Обычный 3 2 6" xfId="84"/>
    <cellStyle name="Обычный 3 2 6 2" xfId="194"/>
    <cellStyle name="Обычный 3 2 6 3" xfId="304"/>
    <cellStyle name="Обычный 3 2 7" xfId="47"/>
    <cellStyle name="Обычный 3 2 7 2" xfId="157"/>
    <cellStyle name="Обычный 3 2 7 3" xfId="267"/>
    <cellStyle name="Обычный 3 2 8" xfId="121"/>
    <cellStyle name="Обычный 3 2 9" xfId="231"/>
    <cellStyle name="Обычный 3 3" xfId="10"/>
    <cellStyle name="Обычный 3 3 2" xfId="13"/>
    <cellStyle name="Обычный 3 3 2 2" xfId="19"/>
    <cellStyle name="Обычный 3 3 2 2 2" xfId="31"/>
    <cellStyle name="Обычный 3 3 2 2 2 2" xfId="104"/>
    <cellStyle name="Обычный 3 3 2 2 2 2 2" xfId="214"/>
    <cellStyle name="Обычный 3 3 2 2 2 2 3" xfId="324"/>
    <cellStyle name="Обычный 3 3 2 2 2 3" xfId="67"/>
    <cellStyle name="Обычный 3 3 2 2 2 3 2" xfId="177"/>
    <cellStyle name="Обычный 3 3 2 2 2 3 3" xfId="287"/>
    <cellStyle name="Обычный 3 3 2 2 2 4" xfId="141"/>
    <cellStyle name="Обычный 3 3 2 2 2 5" xfId="251"/>
    <cellStyle name="Обычный 3 3 2 2 3" xfId="43"/>
    <cellStyle name="Обычный 3 3 2 2 3 2" xfId="116"/>
    <cellStyle name="Обычный 3 3 2 2 3 2 2" xfId="226"/>
    <cellStyle name="Обычный 3 3 2 2 3 2 3" xfId="336"/>
    <cellStyle name="Обычный 3 3 2 2 3 3" xfId="79"/>
    <cellStyle name="Обычный 3 3 2 2 3 3 2" xfId="189"/>
    <cellStyle name="Обычный 3 3 2 2 3 3 3" xfId="299"/>
    <cellStyle name="Обычный 3 3 2 2 3 4" xfId="153"/>
    <cellStyle name="Обычный 3 3 2 2 3 5" xfId="263"/>
    <cellStyle name="Обычный 3 3 2 2 4" xfId="92"/>
    <cellStyle name="Обычный 3 3 2 2 4 2" xfId="202"/>
    <cellStyle name="Обычный 3 3 2 2 4 3" xfId="312"/>
    <cellStyle name="Обычный 3 3 2 2 5" xfId="55"/>
    <cellStyle name="Обычный 3 3 2 2 5 2" xfId="165"/>
    <cellStyle name="Обычный 3 3 2 2 5 3" xfId="275"/>
    <cellStyle name="Обычный 3 3 2 2 6" xfId="129"/>
    <cellStyle name="Обычный 3 3 2 2 7" xfId="239"/>
    <cellStyle name="Обычный 3 3 2 3" xfId="25"/>
    <cellStyle name="Обычный 3 3 2 3 2" xfId="98"/>
    <cellStyle name="Обычный 3 3 2 3 2 2" xfId="208"/>
    <cellStyle name="Обычный 3 3 2 3 2 3" xfId="318"/>
    <cellStyle name="Обычный 3 3 2 3 3" xfId="61"/>
    <cellStyle name="Обычный 3 3 2 3 3 2" xfId="171"/>
    <cellStyle name="Обычный 3 3 2 3 3 3" xfId="281"/>
    <cellStyle name="Обычный 3 3 2 3 4" xfId="135"/>
    <cellStyle name="Обычный 3 3 2 3 5" xfId="245"/>
    <cellStyle name="Обычный 3 3 2 4" xfId="37"/>
    <cellStyle name="Обычный 3 3 2 4 2" xfId="110"/>
    <cellStyle name="Обычный 3 3 2 4 2 2" xfId="220"/>
    <cellStyle name="Обычный 3 3 2 4 2 3" xfId="330"/>
    <cellStyle name="Обычный 3 3 2 4 3" xfId="73"/>
    <cellStyle name="Обычный 3 3 2 4 3 2" xfId="183"/>
    <cellStyle name="Обычный 3 3 2 4 3 3" xfId="293"/>
    <cellStyle name="Обычный 3 3 2 4 4" xfId="147"/>
    <cellStyle name="Обычный 3 3 2 4 5" xfId="257"/>
    <cellStyle name="Обычный 3 3 2 5" xfId="86"/>
    <cellStyle name="Обычный 3 3 2 5 2" xfId="196"/>
    <cellStyle name="Обычный 3 3 2 5 3" xfId="306"/>
    <cellStyle name="Обычный 3 3 2 6" xfId="49"/>
    <cellStyle name="Обычный 3 3 2 6 2" xfId="159"/>
    <cellStyle name="Обычный 3 3 2 6 3" xfId="269"/>
    <cellStyle name="Обычный 3 3 2 7" xfId="123"/>
    <cellStyle name="Обычный 3 3 2 8" xfId="233"/>
    <cellStyle name="Обычный 3 3 3" xfId="16"/>
    <cellStyle name="Обычный 3 3 3 2" xfId="28"/>
    <cellStyle name="Обычный 3 3 3 2 2" xfId="101"/>
    <cellStyle name="Обычный 3 3 3 2 2 2" xfId="211"/>
    <cellStyle name="Обычный 3 3 3 2 2 3" xfId="321"/>
    <cellStyle name="Обычный 3 3 3 2 3" xfId="64"/>
    <cellStyle name="Обычный 3 3 3 2 3 2" xfId="174"/>
    <cellStyle name="Обычный 3 3 3 2 3 3" xfId="284"/>
    <cellStyle name="Обычный 3 3 3 2 4" xfId="138"/>
    <cellStyle name="Обычный 3 3 3 2 5" xfId="248"/>
    <cellStyle name="Обычный 3 3 3 3" xfId="40"/>
    <cellStyle name="Обычный 3 3 3 3 2" xfId="113"/>
    <cellStyle name="Обычный 3 3 3 3 2 2" xfId="223"/>
    <cellStyle name="Обычный 3 3 3 3 2 3" xfId="333"/>
    <cellStyle name="Обычный 3 3 3 3 3" xfId="76"/>
    <cellStyle name="Обычный 3 3 3 3 3 2" xfId="186"/>
    <cellStyle name="Обычный 3 3 3 3 3 3" xfId="296"/>
    <cellStyle name="Обычный 3 3 3 3 4" xfId="150"/>
    <cellStyle name="Обычный 3 3 3 3 5" xfId="260"/>
    <cellStyle name="Обычный 3 3 3 4" xfId="89"/>
    <cellStyle name="Обычный 3 3 3 4 2" xfId="199"/>
    <cellStyle name="Обычный 3 3 3 4 3" xfId="309"/>
    <cellStyle name="Обычный 3 3 3 5" xfId="52"/>
    <cellStyle name="Обычный 3 3 3 5 2" xfId="162"/>
    <cellStyle name="Обычный 3 3 3 5 3" xfId="272"/>
    <cellStyle name="Обычный 3 3 3 6" xfId="126"/>
    <cellStyle name="Обычный 3 3 3 7" xfId="236"/>
    <cellStyle name="Обычный 3 3 4" xfId="22"/>
    <cellStyle name="Обычный 3 3 4 2" xfId="95"/>
    <cellStyle name="Обычный 3 3 4 2 2" xfId="205"/>
    <cellStyle name="Обычный 3 3 4 2 3" xfId="315"/>
    <cellStyle name="Обычный 3 3 4 3" xfId="58"/>
    <cellStyle name="Обычный 3 3 4 3 2" xfId="168"/>
    <cellStyle name="Обычный 3 3 4 3 3" xfId="278"/>
    <cellStyle name="Обычный 3 3 4 4" xfId="132"/>
    <cellStyle name="Обычный 3 3 4 5" xfId="242"/>
    <cellStyle name="Обычный 3 3 5" xfId="34"/>
    <cellStyle name="Обычный 3 3 5 2" xfId="107"/>
    <cellStyle name="Обычный 3 3 5 2 2" xfId="217"/>
    <cellStyle name="Обычный 3 3 5 2 3" xfId="327"/>
    <cellStyle name="Обычный 3 3 5 3" xfId="70"/>
    <cellStyle name="Обычный 3 3 5 3 2" xfId="180"/>
    <cellStyle name="Обычный 3 3 5 3 3" xfId="290"/>
    <cellStyle name="Обычный 3 3 5 4" xfId="144"/>
    <cellStyle name="Обычный 3 3 5 5" xfId="254"/>
    <cellStyle name="Обычный 3 3 6" xfId="83"/>
    <cellStyle name="Обычный 3 3 6 2" xfId="193"/>
    <cellStyle name="Обычный 3 3 6 3" xfId="303"/>
    <cellStyle name="Обычный 3 3 7" xfId="46"/>
    <cellStyle name="Обычный 3 3 7 2" xfId="156"/>
    <cellStyle name="Обычный 3 3 7 3" xfId="266"/>
    <cellStyle name="Обычный 3 3 8" xfId="120"/>
    <cellStyle name="Обычный 3 3 9" xfId="230"/>
    <cellStyle name="Обычный 3 4" xfId="12"/>
    <cellStyle name="Обычный 3 4 2" xfId="18"/>
    <cellStyle name="Обычный 3 4 2 2" xfId="30"/>
    <cellStyle name="Обычный 3 4 2 2 2" xfId="103"/>
    <cellStyle name="Обычный 3 4 2 2 2 2" xfId="213"/>
    <cellStyle name="Обычный 3 4 2 2 2 3" xfId="323"/>
    <cellStyle name="Обычный 3 4 2 2 3" xfId="66"/>
    <cellStyle name="Обычный 3 4 2 2 3 2" xfId="176"/>
    <cellStyle name="Обычный 3 4 2 2 3 3" xfId="286"/>
    <cellStyle name="Обычный 3 4 2 2 4" xfId="140"/>
    <cellStyle name="Обычный 3 4 2 2 5" xfId="250"/>
    <cellStyle name="Обычный 3 4 2 3" xfId="42"/>
    <cellStyle name="Обычный 3 4 2 3 2" xfId="115"/>
    <cellStyle name="Обычный 3 4 2 3 2 2" xfId="225"/>
    <cellStyle name="Обычный 3 4 2 3 2 3" xfId="335"/>
    <cellStyle name="Обычный 3 4 2 3 3" xfId="78"/>
    <cellStyle name="Обычный 3 4 2 3 3 2" xfId="188"/>
    <cellStyle name="Обычный 3 4 2 3 3 3" xfId="298"/>
    <cellStyle name="Обычный 3 4 2 3 4" xfId="152"/>
    <cellStyle name="Обычный 3 4 2 3 5" xfId="262"/>
    <cellStyle name="Обычный 3 4 2 4" xfId="91"/>
    <cellStyle name="Обычный 3 4 2 4 2" xfId="201"/>
    <cellStyle name="Обычный 3 4 2 4 3" xfId="311"/>
    <cellStyle name="Обычный 3 4 2 5" xfId="54"/>
    <cellStyle name="Обычный 3 4 2 5 2" xfId="164"/>
    <cellStyle name="Обычный 3 4 2 5 3" xfId="274"/>
    <cellStyle name="Обычный 3 4 2 6" xfId="128"/>
    <cellStyle name="Обычный 3 4 2 7" xfId="238"/>
    <cellStyle name="Обычный 3 4 3" xfId="24"/>
    <cellStyle name="Обычный 3 4 3 2" xfId="97"/>
    <cellStyle name="Обычный 3 4 3 2 2" xfId="207"/>
    <cellStyle name="Обычный 3 4 3 2 3" xfId="317"/>
    <cellStyle name="Обычный 3 4 3 3" xfId="60"/>
    <cellStyle name="Обычный 3 4 3 3 2" xfId="170"/>
    <cellStyle name="Обычный 3 4 3 3 3" xfId="280"/>
    <cellStyle name="Обычный 3 4 3 4" xfId="134"/>
    <cellStyle name="Обычный 3 4 3 5" xfId="244"/>
    <cellStyle name="Обычный 3 4 4" xfId="36"/>
    <cellStyle name="Обычный 3 4 4 2" xfId="109"/>
    <cellStyle name="Обычный 3 4 4 2 2" xfId="219"/>
    <cellStyle name="Обычный 3 4 4 2 3" xfId="329"/>
    <cellStyle name="Обычный 3 4 4 3" xfId="72"/>
    <cellStyle name="Обычный 3 4 4 3 2" xfId="182"/>
    <cellStyle name="Обычный 3 4 4 3 3" xfId="292"/>
    <cellStyle name="Обычный 3 4 4 4" xfId="146"/>
    <cellStyle name="Обычный 3 4 4 5" xfId="256"/>
    <cellStyle name="Обычный 3 4 5" xfId="85"/>
    <cellStyle name="Обычный 3 4 5 2" xfId="195"/>
    <cellStyle name="Обычный 3 4 5 3" xfId="305"/>
    <cellStyle name="Обычный 3 4 6" xfId="48"/>
    <cellStyle name="Обычный 3 4 6 2" xfId="158"/>
    <cellStyle name="Обычный 3 4 6 3" xfId="268"/>
    <cellStyle name="Обычный 3 4 7" xfId="122"/>
    <cellStyle name="Обычный 3 4 8" xfId="232"/>
    <cellStyle name="Обычный 3 5" xfId="15"/>
    <cellStyle name="Обычный 3 5 2" xfId="27"/>
    <cellStyle name="Обычный 3 5 2 2" xfId="100"/>
    <cellStyle name="Обычный 3 5 2 2 2" xfId="210"/>
    <cellStyle name="Обычный 3 5 2 2 3" xfId="320"/>
    <cellStyle name="Обычный 3 5 2 3" xfId="63"/>
    <cellStyle name="Обычный 3 5 2 3 2" xfId="173"/>
    <cellStyle name="Обычный 3 5 2 3 3" xfId="283"/>
    <cellStyle name="Обычный 3 5 2 4" xfId="137"/>
    <cellStyle name="Обычный 3 5 2 5" xfId="247"/>
    <cellStyle name="Обычный 3 5 3" xfId="39"/>
    <cellStyle name="Обычный 3 5 3 2" xfId="112"/>
    <cellStyle name="Обычный 3 5 3 2 2" xfId="222"/>
    <cellStyle name="Обычный 3 5 3 2 3" xfId="332"/>
    <cellStyle name="Обычный 3 5 3 3" xfId="75"/>
    <cellStyle name="Обычный 3 5 3 3 2" xfId="185"/>
    <cellStyle name="Обычный 3 5 3 3 3" xfId="295"/>
    <cellStyle name="Обычный 3 5 3 4" xfId="149"/>
    <cellStyle name="Обычный 3 5 3 5" xfId="259"/>
    <cellStyle name="Обычный 3 5 4" xfId="88"/>
    <cellStyle name="Обычный 3 5 4 2" xfId="198"/>
    <cellStyle name="Обычный 3 5 4 3" xfId="308"/>
    <cellStyle name="Обычный 3 5 5" xfId="51"/>
    <cellStyle name="Обычный 3 5 5 2" xfId="161"/>
    <cellStyle name="Обычный 3 5 5 3" xfId="271"/>
    <cellStyle name="Обычный 3 5 6" xfId="125"/>
    <cellStyle name="Обычный 3 5 7" xfId="235"/>
    <cellStyle name="Обычный 3 6" xfId="21"/>
    <cellStyle name="Обычный 3 6 2" xfId="94"/>
    <cellStyle name="Обычный 3 6 2 2" xfId="204"/>
    <cellStyle name="Обычный 3 6 2 3" xfId="314"/>
    <cellStyle name="Обычный 3 6 3" xfId="57"/>
    <cellStyle name="Обычный 3 6 3 2" xfId="167"/>
    <cellStyle name="Обычный 3 6 3 3" xfId="277"/>
    <cellStyle name="Обычный 3 6 4" xfId="131"/>
    <cellStyle name="Обычный 3 6 5" xfId="241"/>
    <cellStyle name="Обычный 3 7" xfId="33"/>
    <cellStyle name="Обычный 3 7 2" xfId="106"/>
    <cellStyle name="Обычный 3 7 2 2" xfId="216"/>
    <cellStyle name="Обычный 3 7 2 3" xfId="326"/>
    <cellStyle name="Обычный 3 7 3" xfId="69"/>
    <cellStyle name="Обычный 3 7 3 2" xfId="179"/>
    <cellStyle name="Обычный 3 7 3 3" xfId="289"/>
    <cellStyle name="Обычный 3 7 4" xfId="143"/>
    <cellStyle name="Обычный 3 7 5" xfId="253"/>
    <cellStyle name="Обычный 3 8" xfId="82"/>
    <cellStyle name="Обычный 3 8 2" xfId="192"/>
    <cellStyle name="Обычный 3 8 3" xfId="302"/>
    <cellStyle name="Обычный 3 9" xfId="45"/>
    <cellStyle name="Обычный 3 9 2" xfId="155"/>
    <cellStyle name="Обычный 3 9 3" xfId="265"/>
    <cellStyle name="Обычный 4" xfId="81"/>
    <cellStyle name="Обычный 4 2" xfId="118"/>
    <cellStyle name="Обычный 4 2 2" xfId="228"/>
    <cellStyle name="Обычный 4 2 3" xfId="338"/>
    <cellStyle name="Обычный 4 3" xfId="191"/>
    <cellStyle name="Обычный 4 4" xfId="301"/>
    <cellStyle name="Обычный_tmp" xfId="1"/>
    <cellStyle name="Обычный_tmp 10" xfId="2"/>
    <cellStyle name="Обычный_tmp 2" xfId="3"/>
    <cellStyle name="Обычный_tmp 4" xfId="8"/>
    <cellStyle name="Обычный_Tmp1" xfId="4"/>
    <cellStyle name="Финансовый" xfId="6"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7"/>
  <sheetViews>
    <sheetView tabSelected="1" view="pageBreakPreview" topLeftCell="A575" zoomScaleNormal="80" zoomScaleSheetLayoutView="100" workbookViewId="0">
      <selection activeCell="J594" sqref="J594"/>
    </sheetView>
  </sheetViews>
  <sheetFormatPr defaultColWidth="9.140625" defaultRowHeight="14.25" x14ac:dyDescent="0.2"/>
  <cols>
    <col min="1" max="1" width="6.7109375" style="160" customWidth="1"/>
    <col min="2" max="2" width="28.7109375" style="161" customWidth="1"/>
    <col min="3" max="3" width="16.85546875" style="162" customWidth="1"/>
    <col min="4" max="5" width="16.28515625" style="162" hidden="1" customWidth="1"/>
    <col min="6" max="7" width="16.28515625" style="162" customWidth="1"/>
    <col min="8" max="9" width="16.28515625" style="162" hidden="1" customWidth="1"/>
    <col min="10" max="10" width="65.7109375" style="267" customWidth="1"/>
    <col min="11" max="11" width="21.28515625" style="164" customWidth="1"/>
    <col min="12" max="12" width="16.5703125" style="162" customWidth="1"/>
    <col min="13" max="16384" width="9.140625" style="162"/>
  </cols>
  <sheetData>
    <row r="1" spans="1:11" ht="15.75" x14ac:dyDescent="0.25">
      <c r="J1" s="163" t="s">
        <v>208</v>
      </c>
    </row>
    <row r="2" spans="1:11" ht="12.75" customHeight="1" x14ac:dyDescent="0.25">
      <c r="J2" s="165" t="s">
        <v>209</v>
      </c>
    </row>
    <row r="3" spans="1:11" ht="5.25" customHeight="1" x14ac:dyDescent="0.2">
      <c r="J3" s="166"/>
    </row>
    <row r="4" spans="1:11" ht="40.5" customHeight="1" x14ac:dyDescent="0.2">
      <c r="A4" s="286" t="s">
        <v>214</v>
      </c>
      <c r="B4" s="286"/>
      <c r="C4" s="286"/>
      <c r="D4" s="286"/>
      <c r="E4" s="286"/>
      <c r="F4" s="286"/>
      <c r="G4" s="286"/>
      <c r="H4" s="286"/>
      <c r="I4" s="286"/>
      <c r="J4" s="286"/>
    </row>
    <row r="5" spans="1:11" ht="14.25" customHeight="1" x14ac:dyDescent="0.2">
      <c r="B5" s="167"/>
      <c r="J5" s="168" t="s">
        <v>210</v>
      </c>
    </row>
    <row r="6" spans="1:11" ht="15.75" customHeight="1" x14ac:dyDescent="0.2">
      <c r="A6" s="287" t="s">
        <v>0</v>
      </c>
      <c r="B6" s="285" t="s">
        <v>154</v>
      </c>
      <c r="C6" s="285" t="s">
        <v>170</v>
      </c>
      <c r="D6" s="288" t="s">
        <v>229</v>
      </c>
      <c r="E6" s="288"/>
      <c r="F6" s="285" t="s">
        <v>152</v>
      </c>
      <c r="G6" s="285" t="s">
        <v>212</v>
      </c>
      <c r="H6" s="288" t="s">
        <v>229</v>
      </c>
      <c r="I6" s="288"/>
      <c r="J6" s="289" t="s">
        <v>681</v>
      </c>
    </row>
    <row r="7" spans="1:11" ht="24.75" customHeight="1" x14ac:dyDescent="0.2">
      <c r="A7" s="287"/>
      <c r="B7" s="285"/>
      <c r="C7" s="285"/>
      <c r="D7" s="285" t="s">
        <v>152</v>
      </c>
      <c r="E7" s="285" t="s">
        <v>212</v>
      </c>
      <c r="F7" s="285"/>
      <c r="G7" s="285"/>
      <c r="H7" s="290" t="s">
        <v>213</v>
      </c>
      <c r="I7" s="290"/>
      <c r="J7" s="289"/>
    </row>
    <row r="8" spans="1:11" ht="24" customHeight="1" x14ac:dyDescent="0.2">
      <c r="A8" s="287"/>
      <c r="B8" s="285"/>
      <c r="C8" s="285"/>
      <c r="D8" s="285"/>
      <c r="E8" s="285"/>
      <c r="F8" s="285"/>
      <c r="G8" s="285"/>
      <c r="H8" s="275" t="s">
        <v>219</v>
      </c>
      <c r="I8" s="275" t="s">
        <v>220</v>
      </c>
      <c r="J8" s="289"/>
    </row>
    <row r="9" spans="1:11" ht="40.5" customHeight="1" x14ac:dyDescent="0.25">
      <c r="A9" s="169" t="s">
        <v>171</v>
      </c>
      <c r="B9" s="170" t="s">
        <v>1</v>
      </c>
      <c r="C9" s="171">
        <f>C10+C13</f>
        <v>14274200</v>
      </c>
      <c r="D9" s="171">
        <f t="shared" ref="D9:I9" si="0">D10+D13</f>
        <v>273075150</v>
      </c>
      <c r="E9" s="171">
        <f t="shared" si="0"/>
        <v>0</v>
      </c>
      <c r="F9" s="171">
        <f t="shared" ref="F9:G9" si="1">F10+F13</f>
        <v>22092362</v>
      </c>
      <c r="G9" s="171">
        <f t="shared" si="1"/>
        <v>0</v>
      </c>
      <c r="H9" s="171">
        <f t="shared" si="0"/>
        <v>10248800</v>
      </c>
      <c r="I9" s="171">
        <f t="shared" si="0"/>
        <v>10955800</v>
      </c>
      <c r="J9" s="172"/>
    </row>
    <row r="10" spans="1:11" ht="63.75" hidden="1" x14ac:dyDescent="0.25">
      <c r="A10" s="169" t="s">
        <v>172</v>
      </c>
      <c r="B10" s="173" t="s">
        <v>2</v>
      </c>
      <c r="C10" s="171">
        <f t="shared" ref="C10:I11" si="2">C11</f>
        <v>0</v>
      </c>
      <c r="D10" s="171">
        <f t="shared" si="2"/>
        <v>409000</v>
      </c>
      <c r="E10" s="171">
        <f t="shared" si="2"/>
        <v>0</v>
      </c>
      <c r="F10" s="171">
        <f t="shared" si="2"/>
        <v>0</v>
      </c>
      <c r="G10" s="171">
        <f t="shared" si="2"/>
        <v>0</v>
      </c>
      <c r="H10" s="171">
        <f t="shared" si="2"/>
        <v>0</v>
      </c>
      <c r="I10" s="171">
        <f t="shared" si="2"/>
        <v>0</v>
      </c>
      <c r="J10" s="156"/>
    </row>
    <row r="11" spans="1:11" ht="25.5" hidden="1" x14ac:dyDescent="0.25">
      <c r="A11" s="169"/>
      <c r="B11" s="174" t="s">
        <v>67</v>
      </c>
      <c r="C11" s="175">
        <f>C12</f>
        <v>0</v>
      </c>
      <c r="D11" s="175">
        <f t="shared" si="2"/>
        <v>409000</v>
      </c>
      <c r="E11" s="175">
        <f t="shared" si="2"/>
        <v>0</v>
      </c>
      <c r="F11" s="175">
        <f t="shared" si="2"/>
        <v>0</v>
      </c>
      <c r="G11" s="175">
        <f t="shared" si="2"/>
        <v>0</v>
      </c>
      <c r="H11" s="175">
        <f t="shared" si="2"/>
        <v>0</v>
      </c>
      <c r="I11" s="175">
        <f t="shared" si="2"/>
        <v>0</v>
      </c>
      <c r="J11" s="156"/>
    </row>
    <row r="12" spans="1:11" ht="15.75" hidden="1" x14ac:dyDescent="0.25">
      <c r="A12" s="169"/>
      <c r="B12" s="123"/>
      <c r="C12" s="176"/>
      <c r="D12" s="176">
        <v>409000</v>
      </c>
      <c r="E12" s="176"/>
      <c r="F12" s="176"/>
      <c r="G12" s="176"/>
      <c r="H12" s="176"/>
      <c r="I12" s="176"/>
      <c r="J12" s="156"/>
    </row>
    <row r="13" spans="1:11" ht="54.75" customHeight="1" x14ac:dyDescent="0.25">
      <c r="A13" s="169" t="s">
        <v>173</v>
      </c>
      <c r="B13" s="177" t="s">
        <v>48</v>
      </c>
      <c r="C13" s="178">
        <f t="shared" ref="C13:I13" si="3">C14</f>
        <v>14274200</v>
      </c>
      <c r="D13" s="178">
        <f t="shared" si="3"/>
        <v>272666150</v>
      </c>
      <c r="E13" s="178">
        <f t="shared" si="3"/>
        <v>0</v>
      </c>
      <c r="F13" s="178">
        <f t="shared" si="3"/>
        <v>22092362</v>
      </c>
      <c r="G13" s="178">
        <f t="shared" si="3"/>
        <v>0</v>
      </c>
      <c r="H13" s="178">
        <f t="shared" si="3"/>
        <v>10248800</v>
      </c>
      <c r="I13" s="178">
        <f t="shared" si="3"/>
        <v>10955800</v>
      </c>
      <c r="J13" s="179"/>
    </row>
    <row r="14" spans="1:11" ht="29.25" customHeight="1" x14ac:dyDescent="0.25">
      <c r="A14" s="169"/>
      <c r="B14" s="174" t="s">
        <v>46</v>
      </c>
      <c r="C14" s="180">
        <f>SUM(C15:C42)</f>
        <v>14274200</v>
      </c>
      <c r="D14" s="180">
        <f t="shared" ref="D14:I14" si="4">SUM(D15:D42)</f>
        <v>272666150</v>
      </c>
      <c r="E14" s="180">
        <f t="shared" si="4"/>
        <v>0</v>
      </c>
      <c r="F14" s="180">
        <f t="shared" si="4"/>
        <v>22092362</v>
      </c>
      <c r="G14" s="180">
        <f t="shared" si="4"/>
        <v>0</v>
      </c>
      <c r="H14" s="180">
        <f t="shared" si="4"/>
        <v>10248800</v>
      </c>
      <c r="I14" s="180">
        <f t="shared" si="4"/>
        <v>10955800</v>
      </c>
      <c r="J14" s="179"/>
    </row>
    <row r="15" spans="1:11" ht="93.75" customHeight="1" x14ac:dyDescent="0.25">
      <c r="A15" s="169"/>
      <c r="B15" s="123"/>
      <c r="C15" s="176">
        <v>14274200</v>
      </c>
      <c r="D15" s="176"/>
      <c r="E15" s="176"/>
      <c r="F15" s="176"/>
      <c r="G15" s="176"/>
      <c r="H15" s="176"/>
      <c r="I15" s="176"/>
      <c r="J15" s="179" t="s">
        <v>753</v>
      </c>
    </row>
    <row r="16" spans="1:11" ht="25.5" hidden="1" x14ac:dyDescent="0.25">
      <c r="A16" s="169"/>
      <c r="B16" s="123"/>
      <c r="C16" s="176"/>
      <c r="D16" s="176">
        <v>22000000</v>
      </c>
      <c r="E16" s="176"/>
      <c r="F16" s="176">
        <v>0</v>
      </c>
      <c r="G16" s="176"/>
      <c r="H16" s="176"/>
      <c r="I16" s="176"/>
      <c r="J16" s="179" t="s">
        <v>601</v>
      </c>
      <c r="K16" s="181"/>
    </row>
    <row r="17" spans="1:11" ht="15.75" hidden="1" x14ac:dyDescent="0.25">
      <c r="A17" s="169"/>
      <c r="B17" s="123"/>
      <c r="C17" s="176"/>
      <c r="D17" s="176"/>
      <c r="E17" s="176"/>
      <c r="F17" s="176"/>
      <c r="G17" s="176"/>
      <c r="H17" s="176"/>
      <c r="I17" s="176">
        <v>707000</v>
      </c>
      <c r="J17" s="179"/>
      <c r="K17" s="181"/>
    </row>
    <row r="18" spans="1:11" ht="15.75" hidden="1" x14ac:dyDescent="0.25">
      <c r="A18" s="169"/>
      <c r="B18" s="123"/>
      <c r="C18" s="176"/>
      <c r="D18" s="176"/>
      <c r="E18" s="176"/>
      <c r="F18" s="176"/>
      <c r="G18" s="176"/>
      <c r="H18" s="176">
        <v>282000</v>
      </c>
      <c r="I18" s="176">
        <v>282000</v>
      </c>
      <c r="J18" s="179"/>
      <c r="K18" s="181"/>
    </row>
    <row r="19" spans="1:11" ht="15.75" hidden="1" x14ac:dyDescent="0.25">
      <c r="A19" s="169"/>
      <c r="B19" s="123"/>
      <c r="C19" s="176"/>
      <c r="D19" s="176"/>
      <c r="E19" s="176"/>
      <c r="F19" s="176"/>
      <c r="G19" s="176"/>
      <c r="H19" s="176">
        <v>100000</v>
      </c>
      <c r="I19" s="176">
        <v>100000</v>
      </c>
      <c r="J19" s="179"/>
      <c r="K19" s="181"/>
    </row>
    <row r="20" spans="1:11" ht="15.75" hidden="1" x14ac:dyDescent="0.25">
      <c r="A20" s="169"/>
      <c r="B20" s="123"/>
      <c r="C20" s="176"/>
      <c r="D20" s="176"/>
      <c r="E20" s="176"/>
      <c r="F20" s="176"/>
      <c r="G20" s="176"/>
      <c r="H20" s="176">
        <v>903600</v>
      </c>
      <c r="I20" s="176">
        <v>903600</v>
      </c>
      <c r="J20" s="179"/>
      <c r="K20" s="181"/>
    </row>
    <row r="21" spans="1:11" ht="15.75" hidden="1" x14ac:dyDescent="0.25">
      <c r="A21" s="169"/>
      <c r="B21" s="123"/>
      <c r="C21" s="176"/>
      <c r="D21" s="176"/>
      <c r="E21" s="176"/>
      <c r="F21" s="176"/>
      <c r="G21" s="176"/>
      <c r="H21" s="176">
        <v>90000</v>
      </c>
      <c r="I21" s="176">
        <v>90000</v>
      </c>
      <c r="J21" s="179"/>
      <c r="K21" s="181"/>
    </row>
    <row r="22" spans="1:11" ht="15.75" hidden="1" x14ac:dyDescent="0.25">
      <c r="A22" s="169"/>
      <c r="B22" s="123"/>
      <c r="C22" s="176"/>
      <c r="D22" s="176"/>
      <c r="E22" s="176"/>
      <c r="F22" s="176"/>
      <c r="G22" s="176"/>
      <c r="H22" s="176">
        <v>65000</v>
      </c>
      <c r="I22" s="176">
        <v>65000</v>
      </c>
      <c r="J22" s="179"/>
      <c r="K22" s="181"/>
    </row>
    <row r="23" spans="1:11" ht="15.75" hidden="1" x14ac:dyDescent="0.25">
      <c r="A23" s="169"/>
      <c r="B23" s="123"/>
      <c r="C23" s="176"/>
      <c r="D23" s="176"/>
      <c r="E23" s="176"/>
      <c r="F23" s="176"/>
      <c r="G23" s="176"/>
      <c r="H23" s="176">
        <v>255300</v>
      </c>
      <c r="I23" s="176">
        <v>255300</v>
      </c>
      <c r="J23" s="179"/>
      <c r="K23" s="181"/>
    </row>
    <row r="24" spans="1:11" ht="15.75" hidden="1" x14ac:dyDescent="0.25">
      <c r="A24" s="169"/>
      <c r="B24" s="123"/>
      <c r="C24" s="176"/>
      <c r="D24" s="176"/>
      <c r="E24" s="176"/>
      <c r="F24" s="176"/>
      <c r="G24" s="176"/>
      <c r="H24" s="176">
        <v>77000</v>
      </c>
      <c r="I24" s="176">
        <v>77000</v>
      </c>
      <c r="J24" s="179"/>
      <c r="K24" s="181"/>
    </row>
    <row r="25" spans="1:11" ht="15.75" hidden="1" x14ac:dyDescent="0.25">
      <c r="A25" s="169"/>
      <c r="B25" s="123"/>
      <c r="C25" s="176"/>
      <c r="D25" s="176"/>
      <c r="E25" s="176"/>
      <c r="F25" s="176"/>
      <c r="G25" s="176"/>
      <c r="H25" s="176">
        <v>446000</v>
      </c>
      <c r="I25" s="176">
        <v>7480700</v>
      </c>
      <c r="J25" s="274"/>
      <c r="K25" s="182"/>
    </row>
    <row r="26" spans="1:11" ht="15.75" hidden="1" x14ac:dyDescent="0.25">
      <c r="A26" s="169"/>
      <c r="B26" s="123"/>
      <c r="C26" s="176"/>
      <c r="D26" s="176"/>
      <c r="E26" s="176"/>
      <c r="F26" s="176"/>
      <c r="G26" s="176"/>
      <c r="H26" s="176"/>
      <c r="I26" s="176"/>
      <c r="J26" s="274"/>
      <c r="K26" s="182"/>
    </row>
    <row r="27" spans="1:11" ht="15.75" hidden="1" x14ac:dyDescent="0.25">
      <c r="A27" s="169"/>
      <c r="B27" s="123"/>
      <c r="C27" s="176"/>
      <c r="D27" s="176"/>
      <c r="E27" s="176"/>
      <c r="F27" s="176"/>
      <c r="G27" s="176"/>
      <c r="H27" s="176"/>
      <c r="I27" s="176"/>
      <c r="J27" s="274"/>
      <c r="K27" s="182"/>
    </row>
    <row r="28" spans="1:11" ht="15.75" hidden="1" x14ac:dyDescent="0.25">
      <c r="A28" s="169"/>
      <c r="B28" s="123"/>
      <c r="C28" s="176"/>
      <c r="D28" s="176"/>
      <c r="E28" s="176"/>
      <c r="F28" s="176"/>
      <c r="G28" s="176"/>
      <c r="H28" s="176"/>
      <c r="I28" s="176"/>
      <c r="J28" s="274"/>
      <c r="K28" s="182"/>
    </row>
    <row r="29" spans="1:11" ht="15.75" hidden="1" x14ac:dyDescent="0.25">
      <c r="A29" s="169"/>
      <c r="B29" s="123"/>
      <c r="C29" s="176"/>
      <c r="D29" s="176"/>
      <c r="E29" s="176"/>
      <c r="F29" s="176"/>
      <c r="G29" s="176"/>
      <c r="H29" s="176"/>
      <c r="I29" s="176"/>
      <c r="J29" s="183"/>
      <c r="K29" s="182"/>
    </row>
    <row r="30" spans="1:11" ht="15.75" hidden="1" x14ac:dyDescent="0.25">
      <c r="A30" s="169"/>
      <c r="B30" s="123"/>
      <c r="C30" s="176"/>
      <c r="D30" s="176"/>
      <c r="E30" s="176"/>
      <c r="F30" s="176"/>
      <c r="G30" s="176"/>
      <c r="H30" s="176"/>
      <c r="I30" s="176"/>
      <c r="J30" s="274"/>
    </row>
    <row r="31" spans="1:11" ht="15.75" hidden="1" x14ac:dyDescent="0.25">
      <c r="A31" s="169"/>
      <c r="B31" s="123"/>
      <c r="C31" s="176"/>
      <c r="D31" s="176"/>
      <c r="E31" s="176"/>
      <c r="F31" s="176"/>
      <c r="G31" s="176"/>
      <c r="H31" s="176"/>
      <c r="I31" s="176"/>
      <c r="J31" s="274"/>
    </row>
    <row r="32" spans="1:11" ht="15.75" hidden="1" x14ac:dyDescent="0.25">
      <c r="A32" s="169"/>
      <c r="B32" s="123"/>
      <c r="C32" s="176"/>
      <c r="D32" s="176"/>
      <c r="E32" s="176"/>
      <c r="F32" s="176"/>
      <c r="G32" s="176"/>
      <c r="H32" s="176">
        <v>995200</v>
      </c>
      <c r="I32" s="176">
        <v>995200</v>
      </c>
      <c r="J32" s="274"/>
    </row>
    <row r="33" spans="1:10" ht="15.75" hidden="1" x14ac:dyDescent="0.25">
      <c r="A33" s="169"/>
      <c r="B33" s="123"/>
      <c r="C33" s="176"/>
      <c r="D33" s="176"/>
      <c r="E33" s="176"/>
      <c r="F33" s="176"/>
      <c r="G33" s="176"/>
      <c r="H33" s="176"/>
      <c r="I33" s="176"/>
      <c r="J33" s="274"/>
    </row>
    <row r="34" spans="1:10" ht="15.75" hidden="1" x14ac:dyDescent="0.25">
      <c r="A34" s="169"/>
      <c r="B34" s="123"/>
      <c r="C34" s="176"/>
      <c r="D34" s="176"/>
      <c r="E34" s="176"/>
      <c r="F34" s="176"/>
      <c r="G34" s="176"/>
      <c r="H34" s="176"/>
      <c r="I34" s="176"/>
      <c r="J34" s="274"/>
    </row>
    <row r="35" spans="1:10" ht="15.75" hidden="1" x14ac:dyDescent="0.25">
      <c r="A35" s="169"/>
      <c r="B35" s="123"/>
      <c r="C35" s="176"/>
      <c r="D35" s="176"/>
      <c r="E35" s="176"/>
      <c r="F35" s="176"/>
      <c r="G35" s="176"/>
      <c r="H35" s="176"/>
      <c r="I35" s="176"/>
      <c r="J35" s="274"/>
    </row>
    <row r="36" spans="1:10" ht="15.75" hidden="1" x14ac:dyDescent="0.25">
      <c r="A36" s="169"/>
      <c r="B36" s="123"/>
      <c r="C36" s="176"/>
      <c r="D36" s="176"/>
      <c r="E36" s="176"/>
      <c r="F36" s="176"/>
      <c r="G36" s="176"/>
      <c r="H36" s="176"/>
      <c r="I36" s="176"/>
      <c r="J36" s="274"/>
    </row>
    <row r="37" spans="1:10" ht="15.75" hidden="1" x14ac:dyDescent="0.25">
      <c r="A37" s="169"/>
      <c r="B37" s="123"/>
      <c r="C37" s="176"/>
      <c r="D37" s="176"/>
      <c r="E37" s="176"/>
      <c r="F37" s="176"/>
      <c r="G37" s="176"/>
      <c r="H37" s="176"/>
      <c r="I37" s="176"/>
      <c r="J37" s="274"/>
    </row>
    <row r="38" spans="1:10" ht="15.75" hidden="1" x14ac:dyDescent="0.25">
      <c r="A38" s="169"/>
      <c r="B38" s="123"/>
      <c r="C38" s="176"/>
      <c r="D38" s="176"/>
      <c r="E38" s="176"/>
      <c r="F38" s="176"/>
      <c r="G38" s="176"/>
      <c r="H38" s="176"/>
      <c r="I38" s="176"/>
      <c r="J38" s="274"/>
    </row>
    <row r="39" spans="1:10" ht="15.75" hidden="1" x14ac:dyDescent="0.25">
      <c r="A39" s="169"/>
      <c r="B39" s="123"/>
      <c r="C39" s="176"/>
      <c r="D39" s="176"/>
      <c r="E39" s="176"/>
      <c r="F39" s="176"/>
      <c r="G39" s="176"/>
      <c r="H39" s="176"/>
      <c r="I39" s="176"/>
      <c r="J39" s="274"/>
    </row>
    <row r="40" spans="1:10" ht="15.75" x14ac:dyDescent="0.25">
      <c r="A40" s="169"/>
      <c r="B40" s="123"/>
      <c r="C40" s="176"/>
      <c r="D40" s="176">
        <v>95562180</v>
      </c>
      <c r="E40" s="176"/>
      <c r="F40" s="176">
        <v>22092362</v>
      </c>
      <c r="G40" s="176"/>
      <c r="H40" s="176"/>
      <c r="I40" s="176"/>
      <c r="J40" s="274" t="s">
        <v>683</v>
      </c>
    </row>
    <row r="41" spans="1:10" ht="15.75" hidden="1" x14ac:dyDescent="0.25">
      <c r="A41" s="169"/>
      <c r="B41" s="123"/>
      <c r="C41" s="176"/>
      <c r="D41" s="176">
        <v>155103970</v>
      </c>
      <c r="E41" s="176"/>
      <c r="F41" s="176"/>
      <c r="G41" s="176"/>
      <c r="H41" s="176"/>
      <c r="I41" s="176"/>
      <c r="J41" s="274"/>
    </row>
    <row r="42" spans="1:10" ht="15.75" hidden="1" x14ac:dyDescent="0.25">
      <c r="A42" s="169"/>
      <c r="B42" s="123"/>
      <c r="C42" s="176"/>
      <c r="D42" s="176"/>
      <c r="E42" s="176"/>
      <c r="F42" s="176"/>
      <c r="G42" s="176"/>
      <c r="H42" s="176">
        <v>7034700</v>
      </c>
      <c r="I42" s="176"/>
      <c r="J42" s="274"/>
    </row>
    <row r="43" spans="1:10" ht="54.75" customHeight="1" x14ac:dyDescent="0.25">
      <c r="A43" s="169" t="s">
        <v>174</v>
      </c>
      <c r="B43" s="173" t="s">
        <v>49</v>
      </c>
      <c r="C43" s="171">
        <f t="shared" ref="C43:I43" si="5">C44+C76+C88+C95+C82+C79</f>
        <v>0</v>
      </c>
      <c r="D43" s="171">
        <f t="shared" si="5"/>
        <v>1611368356</v>
      </c>
      <c r="E43" s="171">
        <f t="shared" si="5"/>
        <v>0</v>
      </c>
      <c r="F43" s="171">
        <f t="shared" si="5"/>
        <v>604327380</v>
      </c>
      <c r="G43" s="171">
        <f t="shared" si="5"/>
        <v>30750</v>
      </c>
      <c r="H43" s="171">
        <f t="shared" si="5"/>
        <v>39594588</v>
      </c>
      <c r="I43" s="171">
        <f t="shared" si="5"/>
        <v>40818083</v>
      </c>
      <c r="J43" s="184"/>
    </row>
    <row r="44" spans="1:10" ht="42" customHeight="1" x14ac:dyDescent="0.25">
      <c r="A44" s="169" t="s">
        <v>175</v>
      </c>
      <c r="B44" s="173" t="s">
        <v>50</v>
      </c>
      <c r="C44" s="171">
        <f>C45</f>
        <v>0</v>
      </c>
      <c r="D44" s="171">
        <f t="shared" ref="D44:I44" si="6">D45</f>
        <v>1600607990</v>
      </c>
      <c r="E44" s="171">
        <f t="shared" si="6"/>
        <v>0</v>
      </c>
      <c r="F44" s="171">
        <f t="shared" si="6"/>
        <v>596554097</v>
      </c>
      <c r="G44" s="171">
        <f t="shared" si="6"/>
        <v>0</v>
      </c>
      <c r="H44" s="171">
        <f t="shared" si="6"/>
        <v>37602838</v>
      </c>
      <c r="I44" s="171">
        <f t="shared" si="6"/>
        <v>37602838</v>
      </c>
      <c r="J44" s="123"/>
    </row>
    <row r="45" spans="1:10" ht="25.5" x14ac:dyDescent="0.25">
      <c r="A45" s="169"/>
      <c r="B45" s="174" t="s">
        <v>51</v>
      </c>
      <c r="C45" s="175">
        <f>SUM(C46:C75)</f>
        <v>0</v>
      </c>
      <c r="D45" s="175">
        <f t="shared" ref="D45:I45" si="7">SUM(D46:D75)</f>
        <v>1600607990</v>
      </c>
      <c r="E45" s="175">
        <f t="shared" si="7"/>
        <v>0</v>
      </c>
      <c r="F45" s="175">
        <f t="shared" si="7"/>
        <v>596554097</v>
      </c>
      <c r="G45" s="175">
        <f t="shared" si="7"/>
        <v>0</v>
      </c>
      <c r="H45" s="175">
        <f t="shared" si="7"/>
        <v>37602838</v>
      </c>
      <c r="I45" s="175">
        <f t="shared" si="7"/>
        <v>37602838</v>
      </c>
      <c r="J45" s="123"/>
    </row>
    <row r="46" spans="1:10" ht="15.75" hidden="1" x14ac:dyDescent="0.25">
      <c r="A46" s="169"/>
      <c r="B46" s="123"/>
      <c r="C46" s="185"/>
      <c r="D46" s="185"/>
      <c r="E46" s="185"/>
      <c r="F46" s="185"/>
      <c r="G46" s="185"/>
      <c r="H46" s="185">
        <v>4000</v>
      </c>
      <c r="I46" s="185">
        <v>4000</v>
      </c>
      <c r="J46" s="156"/>
    </row>
    <row r="47" spans="1:10" ht="15.75" hidden="1" x14ac:dyDescent="0.25">
      <c r="A47" s="169"/>
      <c r="B47" s="123"/>
      <c r="C47" s="185"/>
      <c r="D47" s="185"/>
      <c r="E47" s="185"/>
      <c r="F47" s="185"/>
      <c r="G47" s="185"/>
      <c r="H47" s="185">
        <f>5158342+1888394+6060565</f>
        <v>13107301</v>
      </c>
      <c r="I47" s="185">
        <f>5158342+1888394+6060565</f>
        <v>13107301</v>
      </c>
      <c r="J47" s="156"/>
    </row>
    <row r="48" spans="1:10" ht="15.75" hidden="1" x14ac:dyDescent="0.25">
      <c r="A48" s="169"/>
      <c r="B48" s="123"/>
      <c r="C48" s="185"/>
      <c r="D48" s="185"/>
      <c r="E48" s="185"/>
      <c r="F48" s="185"/>
      <c r="G48" s="185"/>
      <c r="H48" s="185">
        <v>93734</v>
      </c>
      <c r="I48" s="185">
        <v>93734</v>
      </c>
      <c r="J48" s="156"/>
    </row>
    <row r="49" spans="1:10" ht="15.75" hidden="1" x14ac:dyDescent="0.25">
      <c r="A49" s="169"/>
      <c r="B49" s="123"/>
      <c r="C49" s="185"/>
      <c r="D49" s="185"/>
      <c r="E49" s="185"/>
      <c r="F49" s="185"/>
      <c r="G49" s="185"/>
      <c r="H49" s="185">
        <v>1500000</v>
      </c>
      <c r="I49" s="185">
        <v>1500000</v>
      </c>
      <c r="J49" s="156"/>
    </row>
    <row r="50" spans="1:10" ht="15.75" hidden="1" x14ac:dyDescent="0.25">
      <c r="A50" s="169"/>
      <c r="B50" s="123"/>
      <c r="C50" s="185"/>
      <c r="D50" s="185"/>
      <c r="E50" s="185"/>
      <c r="F50" s="185"/>
      <c r="G50" s="185"/>
      <c r="H50" s="185">
        <v>74400</v>
      </c>
      <c r="I50" s="185">
        <v>74400</v>
      </c>
      <c r="J50" s="156"/>
    </row>
    <row r="51" spans="1:10" ht="15.75" hidden="1" x14ac:dyDescent="0.25">
      <c r="A51" s="169"/>
      <c r="B51" s="123"/>
      <c r="C51" s="185"/>
      <c r="D51" s="185"/>
      <c r="E51" s="185"/>
      <c r="F51" s="185"/>
      <c r="G51" s="185"/>
      <c r="H51" s="185">
        <v>15000000</v>
      </c>
      <c r="I51" s="185">
        <v>15000000</v>
      </c>
      <c r="J51" s="156"/>
    </row>
    <row r="52" spans="1:10" ht="15.75" hidden="1" x14ac:dyDescent="0.25">
      <c r="A52" s="169"/>
      <c r="B52" s="123"/>
      <c r="C52" s="185"/>
      <c r="D52" s="185"/>
      <c r="E52" s="185"/>
      <c r="F52" s="185"/>
      <c r="G52" s="185"/>
      <c r="H52" s="185">
        <v>419000</v>
      </c>
      <c r="I52" s="185">
        <v>419000</v>
      </c>
      <c r="J52" s="156"/>
    </row>
    <row r="53" spans="1:10" ht="15.75" hidden="1" x14ac:dyDescent="0.25">
      <c r="A53" s="169"/>
      <c r="B53" s="123"/>
      <c r="C53" s="185"/>
      <c r="D53" s="185"/>
      <c r="E53" s="185"/>
      <c r="F53" s="185"/>
      <c r="G53" s="185"/>
      <c r="H53" s="185">
        <v>9400</v>
      </c>
      <c r="I53" s="185">
        <v>9400</v>
      </c>
      <c r="J53" s="156"/>
    </row>
    <row r="54" spans="1:10" ht="15.75" hidden="1" x14ac:dyDescent="0.25">
      <c r="A54" s="169"/>
      <c r="B54" s="123"/>
      <c r="C54" s="185"/>
      <c r="D54" s="185"/>
      <c r="E54" s="185"/>
      <c r="F54" s="185"/>
      <c r="G54" s="185"/>
      <c r="H54" s="185">
        <v>18000</v>
      </c>
      <c r="I54" s="185">
        <v>18000</v>
      </c>
      <c r="J54" s="156"/>
    </row>
    <row r="55" spans="1:10" ht="15.75" hidden="1" x14ac:dyDescent="0.25">
      <c r="A55" s="169"/>
      <c r="B55" s="123"/>
      <c r="C55" s="185"/>
      <c r="D55" s="185">
        <v>922000</v>
      </c>
      <c r="E55" s="185"/>
      <c r="F55" s="185"/>
      <c r="G55" s="185"/>
      <c r="H55" s="185"/>
      <c r="I55" s="185"/>
      <c r="J55" s="156"/>
    </row>
    <row r="56" spans="1:10" ht="25.5" x14ac:dyDescent="0.25">
      <c r="A56" s="169"/>
      <c r="B56" s="123"/>
      <c r="C56" s="185"/>
      <c r="D56" s="185"/>
      <c r="E56" s="185"/>
      <c r="F56" s="185">
        <v>800000</v>
      </c>
      <c r="G56" s="185"/>
      <c r="H56" s="185"/>
      <c r="I56" s="185"/>
      <c r="J56" s="156" t="s">
        <v>734</v>
      </c>
    </row>
    <row r="57" spans="1:10" ht="38.25" x14ac:dyDescent="0.25">
      <c r="A57" s="169"/>
      <c r="B57" s="123"/>
      <c r="C57" s="185"/>
      <c r="D57" s="185">
        <v>13500000</v>
      </c>
      <c r="E57" s="185"/>
      <c r="F57" s="185">
        <v>13500000</v>
      </c>
      <c r="G57" s="185"/>
      <c r="H57" s="185"/>
      <c r="I57" s="185"/>
      <c r="J57" s="156" t="s">
        <v>684</v>
      </c>
    </row>
    <row r="58" spans="1:10" ht="14.25" customHeight="1" x14ac:dyDescent="0.25">
      <c r="A58" s="169"/>
      <c r="B58" s="123"/>
      <c r="C58" s="185"/>
      <c r="D58" s="185">
        <f>177306432-21940000-4494000-1069700</f>
        <v>149802732</v>
      </c>
      <c r="E58" s="185"/>
      <c r="F58" s="185">
        <v>39886000</v>
      </c>
      <c r="G58" s="185"/>
      <c r="H58" s="185"/>
      <c r="I58" s="185"/>
      <c r="J58" s="156" t="s">
        <v>754</v>
      </c>
    </row>
    <row r="59" spans="1:10" ht="15.75" x14ac:dyDescent="0.25">
      <c r="A59" s="169"/>
      <c r="B59" s="123"/>
      <c r="C59" s="185"/>
      <c r="D59" s="185">
        <f>4494000+1069700</f>
        <v>5563700</v>
      </c>
      <c r="E59" s="185"/>
      <c r="F59" s="185">
        <v>5563700</v>
      </c>
      <c r="G59" s="185"/>
      <c r="H59" s="185"/>
      <c r="I59" s="185"/>
      <c r="J59" s="156" t="s">
        <v>422</v>
      </c>
    </row>
    <row r="60" spans="1:10" ht="15.75" x14ac:dyDescent="0.25">
      <c r="A60" s="169"/>
      <c r="B60" s="123"/>
      <c r="C60" s="185"/>
      <c r="D60" s="185">
        <v>21940000</v>
      </c>
      <c r="E60" s="185"/>
      <c r="F60" s="185">
        <v>21940000</v>
      </c>
      <c r="G60" s="185"/>
      <c r="H60" s="185"/>
      <c r="I60" s="185"/>
      <c r="J60" s="156" t="s">
        <v>755</v>
      </c>
    </row>
    <row r="61" spans="1:10" ht="15.75" hidden="1" x14ac:dyDescent="0.25">
      <c r="A61" s="169"/>
      <c r="B61" s="123"/>
      <c r="C61" s="185"/>
      <c r="D61" s="185">
        <v>113850000</v>
      </c>
      <c r="E61" s="185"/>
      <c r="F61" s="185"/>
      <c r="G61" s="185"/>
      <c r="H61" s="185"/>
      <c r="I61" s="185"/>
      <c r="J61" s="156"/>
    </row>
    <row r="62" spans="1:10" ht="15.75" hidden="1" x14ac:dyDescent="0.25">
      <c r="A62" s="169"/>
      <c r="B62" s="123"/>
      <c r="C62" s="185"/>
      <c r="D62" s="185"/>
      <c r="E62" s="185"/>
      <c r="F62" s="185"/>
      <c r="G62" s="185"/>
      <c r="H62" s="185"/>
      <c r="I62" s="185"/>
      <c r="J62" s="156"/>
    </row>
    <row r="63" spans="1:10" ht="51" hidden="1" x14ac:dyDescent="0.25">
      <c r="A63" s="169"/>
      <c r="B63" s="123" t="s">
        <v>426</v>
      </c>
      <c r="C63" s="185"/>
      <c r="D63" s="185">
        <f>470572105</f>
        <v>470572105</v>
      </c>
      <c r="E63" s="185"/>
      <c r="F63" s="185"/>
      <c r="G63" s="185"/>
      <c r="H63" s="185"/>
      <c r="I63" s="185"/>
      <c r="J63" s="156" t="s">
        <v>427</v>
      </c>
    </row>
    <row r="64" spans="1:10" ht="56.25" customHeight="1" x14ac:dyDescent="0.25">
      <c r="A64" s="169"/>
      <c r="B64" s="123" t="s">
        <v>426</v>
      </c>
      <c r="C64" s="185"/>
      <c r="D64" s="185">
        <v>354682091</v>
      </c>
      <c r="E64" s="185"/>
      <c r="F64" s="185">
        <v>302578498</v>
      </c>
      <c r="G64" s="185"/>
      <c r="H64" s="185"/>
      <c r="I64" s="185"/>
      <c r="J64" s="156" t="s">
        <v>756</v>
      </c>
    </row>
    <row r="65" spans="1:11" ht="51" hidden="1" x14ac:dyDescent="0.25">
      <c r="A65" s="169"/>
      <c r="B65" s="123" t="s">
        <v>428</v>
      </c>
      <c r="C65" s="185"/>
      <c r="D65" s="185">
        <v>174648392</v>
      </c>
      <c r="E65" s="185"/>
      <c r="F65" s="185"/>
      <c r="G65" s="185"/>
      <c r="H65" s="185"/>
      <c r="I65" s="185"/>
      <c r="J65" s="156" t="s">
        <v>429</v>
      </c>
    </row>
    <row r="66" spans="1:11" ht="54.75" customHeight="1" x14ac:dyDescent="0.25">
      <c r="A66" s="169"/>
      <c r="B66" s="123" t="s">
        <v>428</v>
      </c>
      <c r="C66" s="185"/>
      <c r="D66" s="185">
        <v>232742224</v>
      </c>
      <c r="E66" s="185"/>
      <c r="F66" s="185">
        <v>174648392</v>
      </c>
      <c r="G66" s="185"/>
      <c r="H66" s="185"/>
      <c r="I66" s="185"/>
      <c r="J66" s="156" t="s">
        <v>756</v>
      </c>
    </row>
    <row r="67" spans="1:11" ht="15.75" hidden="1" x14ac:dyDescent="0.25">
      <c r="A67" s="169"/>
      <c r="B67" s="123"/>
      <c r="C67" s="185"/>
      <c r="D67" s="185"/>
      <c r="E67" s="185"/>
      <c r="F67" s="185"/>
      <c r="G67" s="185"/>
      <c r="H67" s="185"/>
      <c r="I67" s="185"/>
      <c r="J67" s="156"/>
    </row>
    <row r="68" spans="1:11" ht="15.75" hidden="1" x14ac:dyDescent="0.25">
      <c r="A68" s="169"/>
      <c r="B68" s="123"/>
      <c r="C68" s="185"/>
      <c r="D68" s="185"/>
      <c r="E68" s="185"/>
      <c r="F68" s="185"/>
      <c r="G68" s="185"/>
      <c r="H68" s="185"/>
      <c r="I68" s="185"/>
      <c r="J68" s="156"/>
    </row>
    <row r="69" spans="1:11" ht="81" customHeight="1" x14ac:dyDescent="0.25">
      <c r="A69" s="169"/>
      <c r="B69" s="123" t="s">
        <v>432</v>
      </c>
      <c r="C69" s="185"/>
      <c r="D69" s="185">
        <v>548907</v>
      </c>
      <c r="E69" s="185"/>
      <c r="F69" s="185">
        <f>403880+1674725</f>
        <v>2078605</v>
      </c>
      <c r="G69" s="185"/>
      <c r="H69" s="185"/>
      <c r="I69" s="185"/>
      <c r="J69" s="156" t="s">
        <v>756</v>
      </c>
    </row>
    <row r="70" spans="1:11" ht="15.75" hidden="1" x14ac:dyDescent="0.25">
      <c r="A70" s="169"/>
      <c r="B70" s="123"/>
      <c r="C70" s="185"/>
      <c r="D70" s="185"/>
      <c r="E70" s="185"/>
      <c r="F70" s="185"/>
      <c r="G70" s="185"/>
      <c r="H70" s="185"/>
      <c r="I70" s="185"/>
      <c r="J70" s="156"/>
    </row>
    <row r="71" spans="1:11" ht="92.25" customHeight="1" x14ac:dyDescent="0.25">
      <c r="A71" s="169"/>
      <c r="B71" s="123" t="s">
        <v>436</v>
      </c>
      <c r="C71" s="185"/>
      <c r="D71" s="185">
        <v>60471432</v>
      </c>
      <c r="E71" s="185"/>
      <c r="F71" s="185">
        <v>30895450</v>
      </c>
      <c r="G71" s="185"/>
      <c r="H71" s="185">
        <v>7377003</v>
      </c>
      <c r="I71" s="185">
        <v>7377003</v>
      </c>
      <c r="J71" s="156" t="s">
        <v>757</v>
      </c>
    </row>
    <row r="72" spans="1:11" ht="15.75" hidden="1" x14ac:dyDescent="0.25">
      <c r="A72" s="169"/>
      <c r="B72" s="123"/>
      <c r="C72" s="185"/>
      <c r="D72" s="185"/>
      <c r="E72" s="185"/>
      <c r="F72" s="185"/>
      <c r="G72" s="185"/>
      <c r="H72" s="185"/>
      <c r="I72" s="185"/>
      <c r="J72" s="156"/>
    </row>
    <row r="73" spans="1:11" ht="15.75" hidden="1" x14ac:dyDescent="0.25">
      <c r="A73" s="169"/>
      <c r="B73" s="123"/>
      <c r="C73" s="185"/>
      <c r="D73" s="185"/>
      <c r="E73" s="185"/>
      <c r="F73" s="185"/>
      <c r="G73" s="185"/>
      <c r="H73" s="185"/>
      <c r="I73" s="185"/>
      <c r="J73" s="156"/>
    </row>
    <row r="74" spans="1:11" ht="15.75" hidden="1" x14ac:dyDescent="0.25">
      <c r="A74" s="169"/>
      <c r="B74" s="123"/>
      <c r="C74" s="185"/>
      <c r="D74" s="185"/>
      <c r="E74" s="185"/>
      <c r="F74" s="185"/>
      <c r="G74" s="185"/>
      <c r="H74" s="185"/>
      <c r="I74" s="185"/>
      <c r="J74" s="156"/>
    </row>
    <row r="75" spans="1:11" ht="57.75" customHeight="1" x14ac:dyDescent="0.25">
      <c r="A75" s="169"/>
      <c r="B75" s="123" t="s">
        <v>441</v>
      </c>
      <c r="C75" s="185"/>
      <c r="D75" s="185">
        <v>1364407</v>
      </c>
      <c r="E75" s="185"/>
      <c r="F75" s="185">
        <f>1364407+3299045</f>
        <v>4663452</v>
      </c>
      <c r="G75" s="185"/>
      <c r="H75" s="185"/>
      <c r="I75" s="185"/>
      <c r="J75" s="156" t="s">
        <v>755</v>
      </c>
    </row>
    <row r="76" spans="1:11" ht="51" hidden="1" x14ac:dyDescent="0.25">
      <c r="A76" s="169" t="s">
        <v>68</v>
      </c>
      <c r="B76" s="173" t="s">
        <v>69</v>
      </c>
      <c r="C76" s="186">
        <f>C77</f>
        <v>0</v>
      </c>
      <c r="D76" s="186">
        <f t="shared" ref="D76:I77" si="8">D77</f>
        <v>0</v>
      </c>
      <c r="E76" s="186">
        <f t="shared" si="8"/>
        <v>0</v>
      </c>
      <c r="F76" s="186">
        <f t="shared" si="8"/>
        <v>0</v>
      </c>
      <c r="G76" s="186">
        <f t="shared" si="8"/>
        <v>0</v>
      </c>
      <c r="H76" s="186">
        <f t="shared" si="8"/>
        <v>0</v>
      </c>
      <c r="I76" s="186">
        <f t="shared" si="8"/>
        <v>0</v>
      </c>
      <c r="J76" s="179"/>
    </row>
    <row r="77" spans="1:11" s="190" customFormat="1" ht="25.5" hidden="1" x14ac:dyDescent="0.25">
      <c r="A77" s="187"/>
      <c r="B77" s="174" t="s">
        <v>67</v>
      </c>
      <c r="C77" s="188">
        <f>C78</f>
        <v>0</v>
      </c>
      <c r="D77" s="188">
        <f t="shared" si="8"/>
        <v>0</v>
      </c>
      <c r="E77" s="188">
        <f t="shared" si="8"/>
        <v>0</v>
      </c>
      <c r="F77" s="188">
        <f t="shared" si="8"/>
        <v>0</v>
      </c>
      <c r="G77" s="188">
        <f t="shared" si="8"/>
        <v>0</v>
      </c>
      <c r="H77" s="188">
        <f t="shared" si="8"/>
        <v>0</v>
      </c>
      <c r="I77" s="188">
        <f t="shared" si="8"/>
        <v>0</v>
      </c>
      <c r="J77" s="179"/>
      <c r="K77" s="189"/>
    </row>
    <row r="78" spans="1:11" ht="15.75" hidden="1" x14ac:dyDescent="0.25">
      <c r="A78" s="169"/>
      <c r="B78" s="123"/>
      <c r="C78" s="185"/>
      <c r="D78" s="185"/>
      <c r="E78" s="185"/>
      <c r="F78" s="185"/>
      <c r="G78" s="185"/>
      <c r="H78" s="185"/>
      <c r="I78" s="185"/>
      <c r="J78" s="156"/>
    </row>
    <row r="79" spans="1:11" ht="38.25" hidden="1" x14ac:dyDescent="0.25">
      <c r="A79" s="169" t="s">
        <v>215</v>
      </c>
      <c r="B79" s="173" t="s">
        <v>216</v>
      </c>
      <c r="C79" s="185">
        <f>C80</f>
        <v>0</v>
      </c>
      <c r="D79" s="185">
        <f t="shared" ref="D79:I79" si="9">D80</f>
        <v>0</v>
      </c>
      <c r="E79" s="185">
        <f t="shared" si="9"/>
        <v>0</v>
      </c>
      <c r="F79" s="185">
        <f t="shared" si="9"/>
        <v>0</v>
      </c>
      <c r="G79" s="185">
        <f t="shared" si="9"/>
        <v>0</v>
      </c>
      <c r="H79" s="185">
        <f t="shared" si="9"/>
        <v>0</v>
      </c>
      <c r="I79" s="185">
        <f t="shared" si="9"/>
        <v>0</v>
      </c>
      <c r="J79" s="156"/>
    </row>
    <row r="80" spans="1:11" ht="25.5" hidden="1" x14ac:dyDescent="0.25">
      <c r="A80" s="169"/>
      <c r="B80" s="174" t="s">
        <v>67</v>
      </c>
      <c r="C80" s="185">
        <f>C81</f>
        <v>0</v>
      </c>
      <c r="D80" s="185">
        <f t="shared" ref="D80:I80" si="10">D81</f>
        <v>0</v>
      </c>
      <c r="E80" s="185">
        <f t="shared" si="10"/>
        <v>0</v>
      </c>
      <c r="F80" s="185">
        <f t="shared" si="10"/>
        <v>0</v>
      </c>
      <c r="G80" s="185">
        <f t="shared" si="10"/>
        <v>0</v>
      </c>
      <c r="H80" s="185">
        <f t="shared" si="10"/>
        <v>0</v>
      </c>
      <c r="I80" s="185">
        <f t="shared" si="10"/>
        <v>0</v>
      </c>
      <c r="J80" s="156"/>
    </row>
    <row r="81" spans="1:11" ht="15.75" hidden="1" x14ac:dyDescent="0.25">
      <c r="A81" s="169"/>
      <c r="B81" s="123"/>
      <c r="C81" s="185"/>
      <c r="D81" s="185"/>
      <c r="E81" s="185"/>
      <c r="F81" s="185"/>
      <c r="G81" s="185"/>
      <c r="H81" s="185"/>
      <c r="I81" s="185"/>
      <c r="J81" s="156"/>
    </row>
    <row r="82" spans="1:11" ht="57" customHeight="1" x14ac:dyDescent="0.25">
      <c r="A82" s="169" t="s">
        <v>150</v>
      </c>
      <c r="B82" s="173" t="s">
        <v>151</v>
      </c>
      <c r="C82" s="186">
        <f>C83</f>
        <v>0</v>
      </c>
      <c r="D82" s="186">
        <f t="shared" ref="D82:I82" si="11">D83</f>
        <v>10000000</v>
      </c>
      <c r="E82" s="186">
        <f t="shared" si="11"/>
        <v>0</v>
      </c>
      <c r="F82" s="186">
        <f t="shared" si="11"/>
        <v>7305000</v>
      </c>
      <c r="G82" s="186">
        <f t="shared" si="11"/>
        <v>0</v>
      </c>
      <c r="H82" s="186">
        <f t="shared" si="11"/>
        <v>1101750</v>
      </c>
      <c r="I82" s="186">
        <f t="shared" si="11"/>
        <v>2325245</v>
      </c>
      <c r="J82" s="156"/>
    </row>
    <row r="83" spans="1:11" ht="25.5" x14ac:dyDescent="0.25">
      <c r="A83" s="169"/>
      <c r="B83" s="174" t="s">
        <v>51</v>
      </c>
      <c r="C83" s="188">
        <f>SUM(C84:C87)</f>
        <v>0</v>
      </c>
      <c r="D83" s="188">
        <f t="shared" ref="D83:I83" si="12">SUM(D84:D87)</f>
        <v>10000000</v>
      </c>
      <c r="E83" s="188">
        <f t="shared" si="12"/>
        <v>0</v>
      </c>
      <c r="F83" s="188">
        <f t="shared" si="12"/>
        <v>7305000</v>
      </c>
      <c r="G83" s="188">
        <f t="shared" si="12"/>
        <v>0</v>
      </c>
      <c r="H83" s="188">
        <f t="shared" si="12"/>
        <v>1101750</v>
      </c>
      <c r="I83" s="188">
        <f t="shared" si="12"/>
        <v>2325245</v>
      </c>
      <c r="J83" s="156"/>
    </row>
    <row r="84" spans="1:11" ht="15.75" hidden="1" x14ac:dyDescent="0.25">
      <c r="A84" s="169"/>
      <c r="B84" s="123"/>
      <c r="C84" s="176"/>
      <c r="D84" s="176"/>
      <c r="E84" s="176"/>
      <c r="F84" s="176"/>
      <c r="G84" s="176"/>
      <c r="H84" s="176"/>
      <c r="I84" s="176">
        <v>1223495</v>
      </c>
      <c r="J84" s="156"/>
      <c r="K84" s="182"/>
    </row>
    <row r="85" spans="1:11" ht="15.75" hidden="1" x14ac:dyDescent="0.25">
      <c r="A85" s="169"/>
      <c r="B85" s="123"/>
      <c r="C85" s="176"/>
      <c r="D85" s="176"/>
      <c r="E85" s="176"/>
      <c r="F85" s="176"/>
      <c r="G85" s="176"/>
      <c r="H85" s="176">
        <f>54000+906000</f>
        <v>960000</v>
      </c>
      <c r="I85" s="176">
        <f>54000+906000</f>
        <v>960000</v>
      </c>
      <c r="J85" s="156"/>
      <c r="K85" s="182"/>
    </row>
    <row r="86" spans="1:11" ht="15.75" hidden="1" x14ac:dyDescent="0.25">
      <c r="A86" s="169"/>
      <c r="B86" s="123"/>
      <c r="C86" s="176"/>
      <c r="D86" s="176"/>
      <c r="E86" s="176"/>
      <c r="F86" s="176"/>
      <c r="G86" s="176"/>
      <c r="H86" s="176">
        <v>141750</v>
      </c>
      <c r="I86" s="176">
        <v>141750</v>
      </c>
      <c r="J86" s="156"/>
      <c r="K86" s="182"/>
    </row>
    <row r="87" spans="1:11" ht="34.5" customHeight="1" x14ac:dyDescent="0.25">
      <c r="A87" s="169"/>
      <c r="B87" s="123"/>
      <c r="C87" s="176"/>
      <c r="D87" s="176">
        <v>10000000</v>
      </c>
      <c r="E87" s="176"/>
      <c r="F87" s="176">
        <v>7305000</v>
      </c>
      <c r="G87" s="176"/>
      <c r="H87" s="176"/>
      <c r="I87" s="176"/>
      <c r="J87" s="156" t="s">
        <v>685</v>
      </c>
      <c r="K87" s="182"/>
    </row>
    <row r="88" spans="1:11" ht="53.25" customHeight="1" x14ac:dyDescent="0.25">
      <c r="A88" s="169" t="s">
        <v>721</v>
      </c>
      <c r="B88" s="177" t="s">
        <v>738</v>
      </c>
      <c r="C88" s="171">
        <f>C89</f>
        <v>0</v>
      </c>
      <c r="D88" s="171">
        <f t="shared" ref="D88:I88" si="13">D89</f>
        <v>760366</v>
      </c>
      <c r="E88" s="171">
        <f t="shared" si="13"/>
        <v>0</v>
      </c>
      <c r="F88" s="171">
        <f t="shared" si="13"/>
        <v>468283</v>
      </c>
      <c r="G88" s="171">
        <f t="shared" si="13"/>
        <v>30750</v>
      </c>
      <c r="H88" s="171">
        <f t="shared" si="13"/>
        <v>890000</v>
      </c>
      <c r="I88" s="171">
        <f t="shared" si="13"/>
        <v>890000</v>
      </c>
      <c r="J88" s="191"/>
    </row>
    <row r="89" spans="1:11" ht="41.25" customHeight="1" x14ac:dyDescent="0.25">
      <c r="A89" s="169"/>
      <c r="B89" s="174" t="s">
        <v>165</v>
      </c>
      <c r="C89" s="175">
        <f>SUM(C90:C94)</f>
        <v>0</v>
      </c>
      <c r="D89" s="175">
        <f t="shared" ref="D89:I89" si="14">SUM(D90:D94)</f>
        <v>760366</v>
      </c>
      <c r="E89" s="175">
        <f t="shared" si="14"/>
        <v>0</v>
      </c>
      <c r="F89" s="175">
        <f t="shared" si="14"/>
        <v>468283</v>
      </c>
      <c r="G89" s="175">
        <f t="shared" si="14"/>
        <v>30750</v>
      </c>
      <c r="H89" s="175">
        <f t="shared" si="14"/>
        <v>890000</v>
      </c>
      <c r="I89" s="175">
        <f t="shared" si="14"/>
        <v>890000</v>
      </c>
      <c r="J89" s="191"/>
    </row>
    <row r="90" spans="1:11" ht="15.75" x14ac:dyDescent="0.25">
      <c r="A90" s="169"/>
      <c r="B90" s="123"/>
      <c r="C90" s="185"/>
      <c r="D90" s="185">
        <v>343283</v>
      </c>
      <c r="E90" s="185"/>
      <c r="F90" s="185">
        <v>343283</v>
      </c>
      <c r="G90" s="185"/>
      <c r="H90" s="192"/>
      <c r="I90" s="192"/>
      <c r="J90" s="156" t="s">
        <v>422</v>
      </c>
      <c r="K90" s="193"/>
    </row>
    <row r="91" spans="1:11" ht="25.5" hidden="1" x14ac:dyDescent="0.25">
      <c r="A91" s="169"/>
      <c r="B91" s="123" t="s">
        <v>447</v>
      </c>
      <c r="C91" s="185"/>
      <c r="D91" s="185">
        <v>252083</v>
      </c>
      <c r="E91" s="185"/>
      <c r="F91" s="185"/>
      <c r="G91" s="185"/>
      <c r="H91" s="192"/>
      <c r="I91" s="192"/>
      <c r="J91" s="274" t="s">
        <v>448</v>
      </c>
      <c r="K91" s="182"/>
    </row>
    <row r="92" spans="1:11" ht="30" customHeight="1" x14ac:dyDescent="0.25">
      <c r="A92" s="169"/>
      <c r="B92" s="123" t="s">
        <v>447</v>
      </c>
      <c r="C92" s="185"/>
      <c r="D92" s="185">
        <v>125000</v>
      </c>
      <c r="E92" s="185"/>
      <c r="F92" s="185">
        <v>125000</v>
      </c>
      <c r="G92" s="185"/>
      <c r="H92" s="192"/>
      <c r="I92" s="192"/>
      <c r="J92" s="274" t="s">
        <v>686</v>
      </c>
      <c r="K92" s="194"/>
    </row>
    <row r="93" spans="1:11" ht="15.75" x14ac:dyDescent="0.25">
      <c r="A93" s="169"/>
      <c r="B93" s="123"/>
      <c r="C93" s="185"/>
      <c r="D93" s="185">
        <v>40000</v>
      </c>
      <c r="E93" s="185"/>
      <c r="F93" s="185"/>
      <c r="G93" s="185">
        <v>30750</v>
      </c>
      <c r="H93" s="192"/>
      <c r="I93" s="192"/>
      <c r="J93" s="274" t="s">
        <v>687</v>
      </c>
      <c r="K93" s="194"/>
    </row>
    <row r="94" spans="1:11" ht="15.75" hidden="1" x14ac:dyDescent="0.25">
      <c r="A94" s="169"/>
      <c r="B94" s="123"/>
      <c r="C94" s="185"/>
      <c r="D94" s="185"/>
      <c r="E94" s="185"/>
      <c r="F94" s="185"/>
      <c r="G94" s="185"/>
      <c r="H94" s="192">
        <v>890000</v>
      </c>
      <c r="I94" s="192">
        <v>890000</v>
      </c>
      <c r="J94" s="274"/>
      <c r="K94" s="194"/>
    </row>
    <row r="95" spans="1:11" ht="63.75" hidden="1" x14ac:dyDescent="0.25">
      <c r="A95" s="169" t="s">
        <v>78</v>
      </c>
      <c r="B95" s="173" t="s">
        <v>54</v>
      </c>
      <c r="C95" s="186">
        <f>C96+C98</f>
        <v>0</v>
      </c>
      <c r="D95" s="186">
        <f t="shared" ref="D95:I95" si="15">D96+D98</f>
        <v>0</v>
      </c>
      <c r="E95" s="186">
        <f t="shared" si="15"/>
        <v>0</v>
      </c>
      <c r="F95" s="186">
        <f t="shared" ref="F95:G95" si="16">F96+F98</f>
        <v>0</v>
      </c>
      <c r="G95" s="186">
        <f t="shared" si="16"/>
        <v>0</v>
      </c>
      <c r="H95" s="186">
        <f t="shared" si="15"/>
        <v>0</v>
      </c>
      <c r="I95" s="186">
        <f t="shared" si="15"/>
        <v>0</v>
      </c>
      <c r="J95" s="123"/>
    </row>
    <row r="96" spans="1:11" ht="25.5" hidden="1" x14ac:dyDescent="0.25">
      <c r="A96" s="195"/>
      <c r="B96" s="174" t="s">
        <v>51</v>
      </c>
      <c r="C96" s="188">
        <f>C97</f>
        <v>0</v>
      </c>
      <c r="D96" s="188">
        <f t="shared" ref="D96:I96" si="17">D97</f>
        <v>0</v>
      </c>
      <c r="E96" s="188">
        <f t="shared" si="17"/>
        <v>0</v>
      </c>
      <c r="F96" s="188">
        <f t="shared" si="17"/>
        <v>0</v>
      </c>
      <c r="G96" s="188">
        <f t="shared" si="17"/>
        <v>0</v>
      </c>
      <c r="H96" s="188">
        <f t="shared" si="17"/>
        <v>0</v>
      </c>
      <c r="I96" s="188">
        <f t="shared" si="17"/>
        <v>0</v>
      </c>
      <c r="J96" s="196"/>
    </row>
    <row r="97" spans="1:11" ht="15.75" hidden="1" x14ac:dyDescent="0.25">
      <c r="A97" s="195"/>
      <c r="B97" s="123"/>
      <c r="C97" s="175"/>
      <c r="D97" s="185"/>
      <c r="E97" s="185"/>
      <c r="F97" s="185"/>
      <c r="G97" s="185"/>
      <c r="H97" s="185"/>
      <c r="I97" s="185"/>
      <c r="J97" s="183"/>
      <c r="K97" s="197"/>
    </row>
    <row r="98" spans="1:11" ht="38.25" hidden="1" x14ac:dyDescent="0.25">
      <c r="A98" s="195"/>
      <c r="B98" s="174" t="s">
        <v>146</v>
      </c>
      <c r="C98" s="188">
        <f t="shared" ref="C98:I98" si="18">SUM(C99:C100)</f>
        <v>0</v>
      </c>
      <c r="D98" s="188">
        <f t="shared" si="18"/>
        <v>0</v>
      </c>
      <c r="E98" s="188">
        <f t="shared" si="18"/>
        <v>0</v>
      </c>
      <c r="F98" s="188">
        <f t="shared" ref="F98:G98" si="19">SUM(F99:F100)</f>
        <v>0</v>
      </c>
      <c r="G98" s="188">
        <f t="shared" si="19"/>
        <v>0</v>
      </c>
      <c r="H98" s="188">
        <f t="shared" si="18"/>
        <v>0</v>
      </c>
      <c r="I98" s="188">
        <f t="shared" si="18"/>
        <v>0</v>
      </c>
      <c r="J98" s="196"/>
    </row>
    <row r="99" spans="1:11" ht="15.75" hidden="1" x14ac:dyDescent="0.25">
      <c r="A99" s="195"/>
      <c r="B99" s="123"/>
      <c r="C99" s="175"/>
      <c r="D99" s="185"/>
      <c r="E99" s="185"/>
      <c r="F99" s="185"/>
      <c r="G99" s="185"/>
      <c r="H99" s="185"/>
      <c r="I99" s="185"/>
      <c r="J99" s="183"/>
      <c r="K99" s="193"/>
    </row>
    <row r="100" spans="1:11" ht="15.75" hidden="1" x14ac:dyDescent="0.25">
      <c r="A100" s="195"/>
      <c r="B100" s="123"/>
      <c r="C100" s="175"/>
      <c r="D100" s="185"/>
      <c r="E100" s="185"/>
      <c r="F100" s="185"/>
      <c r="G100" s="185"/>
      <c r="H100" s="185"/>
      <c r="I100" s="185"/>
      <c r="J100" s="183"/>
      <c r="K100" s="182"/>
    </row>
    <row r="101" spans="1:11" ht="41.25" customHeight="1" x14ac:dyDescent="0.25">
      <c r="A101" s="169" t="s">
        <v>176</v>
      </c>
      <c r="B101" s="198" t="s">
        <v>55</v>
      </c>
      <c r="C101" s="171">
        <f t="shared" ref="C101:I101" si="20">C102+C135+C141</f>
        <v>16000</v>
      </c>
      <c r="D101" s="171">
        <f t="shared" si="20"/>
        <v>395751338</v>
      </c>
      <c r="E101" s="171">
        <f t="shared" si="20"/>
        <v>14460</v>
      </c>
      <c r="F101" s="171">
        <f t="shared" si="20"/>
        <v>295215959</v>
      </c>
      <c r="G101" s="171">
        <f t="shared" si="20"/>
        <v>2924244</v>
      </c>
      <c r="H101" s="171">
        <f t="shared" si="20"/>
        <v>53567035</v>
      </c>
      <c r="I101" s="171">
        <f t="shared" si="20"/>
        <v>50976228</v>
      </c>
      <c r="J101" s="199"/>
    </row>
    <row r="102" spans="1:11" ht="54.75" customHeight="1" x14ac:dyDescent="0.25">
      <c r="A102" s="169" t="s">
        <v>177</v>
      </c>
      <c r="B102" s="198" t="s">
        <v>56</v>
      </c>
      <c r="C102" s="171">
        <f t="shared" ref="C102:I102" si="21">C103</f>
        <v>16000</v>
      </c>
      <c r="D102" s="171">
        <f t="shared" si="21"/>
        <v>385807114</v>
      </c>
      <c r="E102" s="171">
        <f t="shared" si="21"/>
        <v>14460</v>
      </c>
      <c r="F102" s="171">
        <f t="shared" si="21"/>
        <v>289368795</v>
      </c>
      <c r="G102" s="171">
        <f t="shared" si="21"/>
        <v>2924244</v>
      </c>
      <c r="H102" s="171">
        <f t="shared" si="21"/>
        <v>52408875</v>
      </c>
      <c r="I102" s="171">
        <f t="shared" si="21"/>
        <v>50976228</v>
      </c>
      <c r="J102" s="123"/>
    </row>
    <row r="103" spans="1:11" ht="38.25" x14ac:dyDescent="0.25">
      <c r="A103" s="169"/>
      <c r="B103" s="200" t="s">
        <v>57</v>
      </c>
      <c r="C103" s="175">
        <f>SUM(C104:C134)</f>
        <v>16000</v>
      </c>
      <c r="D103" s="175">
        <f t="shared" ref="D103:I103" si="22">SUM(D104:D134)</f>
        <v>385807114</v>
      </c>
      <c r="E103" s="175">
        <f t="shared" si="22"/>
        <v>14460</v>
      </c>
      <c r="F103" s="175">
        <f t="shared" si="22"/>
        <v>289368795</v>
      </c>
      <c r="G103" s="175">
        <f t="shared" si="22"/>
        <v>2924244</v>
      </c>
      <c r="H103" s="175">
        <f t="shared" si="22"/>
        <v>52408875</v>
      </c>
      <c r="I103" s="175">
        <f t="shared" si="22"/>
        <v>50976228</v>
      </c>
      <c r="J103" s="123"/>
    </row>
    <row r="104" spans="1:11" ht="78.75" customHeight="1" x14ac:dyDescent="0.25">
      <c r="A104" s="169"/>
      <c r="B104" s="274" t="s">
        <v>460</v>
      </c>
      <c r="C104" s="201">
        <f>4000+4500+4000+3500</f>
        <v>16000</v>
      </c>
      <c r="D104" s="175"/>
      <c r="E104" s="175"/>
      <c r="F104" s="175"/>
      <c r="G104" s="175"/>
      <c r="H104" s="175"/>
      <c r="I104" s="175"/>
      <c r="J104" s="123"/>
    </row>
    <row r="105" spans="1:11" ht="90" customHeight="1" x14ac:dyDescent="0.25">
      <c r="A105" s="169"/>
      <c r="B105" s="123" t="s">
        <v>285</v>
      </c>
      <c r="C105" s="185"/>
      <c r="D105" s="185">
        <v>58926000</v>
      </c>
      <c r="E105" s="185"/>
      <c r="F105" s="185">
        <v>58926000</v>
      </c>
      <c r="G105" s="185"/>
      <c r="H105" s="192">
        <v>17121000</v>
      </c>
      <c r="I105" s="192">
        <v>17121000</v>
      </c>
      <c r="J105" s="274" t="s">
        <v>758</v>
      </c>
    </row>
    <row r="106" spans="1:11" ht="56.25" customHeight="1" x14ac:dyDescent="0.25">
      <c r="A106" s="169"/>
      <c r="B106" s="123" t="s">
        <v>312</v>
      </c>
      <c r="C106" s="185"/>
      <c r="D106" s="185">
        <v>10411088</v>
      </c>
      <c r="E106" s="185"/>
      <c r="F106" s="185">
        <f>2941000+770000+6910210</f>
        <v>10621210</v>
      </c>
      <c r="G106" s="185"/>
      <c r="H106" s="192"/>
      <c r="I106" s="192"/>
      <c r="J106" s="276" t="s">
        <v>759</v>
      </c>
    </row>
    <row r="107" spans="1:11" ht="101.25" hidden="1" customHeight="1" x14ac:dyDescent="0.25">
      <c r="A107" s="169"/>
      <c r="B107" s="123"/>
      <c r="C107" s="185"/>
      <c r="D107" s="185"/>
      <c r="E107" s="185"/>
      <c r="F107" s="185"/>
      <c r="G107" s="185"/>
      <c r="H107" s="192"/>
      <c r="I107" s="192"/>
      <c r="J107" s="274"/>
    </row>
    <row r="108" spans="1:11" ht="15.75" hidden="1" x14ac:dyDescent="0.25">
      <c r="A108" s="169"/>
      <c r="B108" s="123"/>
      <c r="C108" s="185"/>
      <c r="D108" s="185"/>
      <c r="E108" s="185"/>
      <c r="F108" s="185"/>
      <c r="G108" s="185"/>
      <c r="H108" s="192"/>
      <c r="I108" s="192"/>
      <c r="J108" s="274"/>
    </row>
    <row r="109" spans="1:11" ht="15.75" hidden="1" x14ac:dyDescent="0.25">
      <c r="A109" s="169"/>
      <c r="B109" s="123"/>
      <c r="C109" s="185"/>
      <c r="D109" s="185"/>
      <c r="E109" s="185"/>
      <c r="F109" s="185"/>
      <c r="G109" s="185"/>
      <c r="H109" s="192"/>
      <c r="I109" s="192"/>
      <c r="J109" s="274"/>
    </row>
    <row r="110" spans="1:11" ht="52.5" customHeight="1" x14ac:dyDescent="0.25">
      <c r="A110" s="169"/>
      <c r="B110" s="123" t="s">
        <v>458</v>
      </c>
      <c r="C110" s="185"/>
      <c r="D110" s="185">
        <v>8565353</v>
      </c>
      <c r="E110" s="185"/>
      <c r="F110" s="185">
        <v>8565353</v>
      </c>
      <c r="G110" s="185"/>
      <c r="H110" s="192">
        <f>2052000+1432647</f>
        <v>3484647</v>
      </c>
      <c r="I110" s="192">
        <v>2052000</v>
      </c>
      <c r="J110" s="274" t="s">
        <v>760</v>
      </c>
    </row>
    <row r="111" spans="1:11" ht="15.75" hidden="1" x14ac:dyDescent="0.25">
      <c r="A111" s="169"/>
      <c r="B111" s="123"/>
      <c r="C111" s="185"/>
      <c r="D111" s="185"/>
      <c r="E111" s="185"/>
      <c r="F111" s="185"/>
      <c r="G111" s="185"/>
      <c r="H111" s="192"/>
      <c r="I111" s="192"/>
      <c r="J111" s="274"/>
    </row>
    <row r="112" spans="1:11" ht="40.5" customHeight="1" x14ac:dyDescent="0.25">
      <c r="A112" s="169"/>
      <c r="B112" s="123" t="s">
        <v>461</v>
      </c>
      <c r="C112" s="185"/>
      <c r="D112" s="185"/>
      <c r="E112" s="185">
        <v>14460</v>
      </c>
      <c r="F112" s="185"/>
      <c r="G112" s="185">
        <f>14460+200</f>
        <v>14660</v>
      </c>
      <c r="H112" s="192">
        <v>400000</v>
      </c>
      <c r="I112" s="192">
        <v>400000</v>
      </c>
      <c r="J112" s="274" t="s">
        <v>688</v>
      </c>
    </row>
    <row r="113" spans="1:10" ht="41.25" customHeight="1" x14ac:dyDescent="0.25">
      <c r="A113" s="169"/>
      <c r="B113" s="123" t="s">
        <v>462</v>
      </c>
      <c r="C113" s="185"/>
      <c r="D113" s="185">
        <v>3219994</v>
      </c>
      <c r="E113" s="185"/>
      <c r="F113" s="185">
        <v>3219994</v>
      </c>
      <c r="G113" s="185"/>
      <c r="H113" s="192"/>
      <c r="I113" s="192"/>
      <c r="J113" s="274" t="s">
        <v>689</v>
      </c>
    </row>
    <row r="114" spans="1:10" ht="78.75" customHeight="1" x14ac:dyDescent="0.25">
      <c r="A114" s="169"/>
      <c r="B114" s="123" t="s">
        <v>729</v>
      </c>
      <c r="C114" s="185"/>
      <c r="D114" s="185">
        <v>11303759</v>
      </c>
      <c r="E114" s="185"/>
      <c r="F114" s="185">
        <v>11303759</v>
      </c>
      <c r="G114" s="185"/>
      <c r="H114" s="192">
        <v>8856762</v>
      </c>
      <c r="I114" s="192">
        <v>8856762</v>
      </c>
      <c r="J114" s="274" t="s">
        <v>690</v>
      </c>
    </row>
    <row r="115" spans="1:10" ht="15.75" hidden="1" x14ac:dyDescent="0.25">
      <c r="A115" s="169"/>
      <c r="B115" s="123"/>
      <c r="C115" s="185"/>
      <c r="D115" s="185"/>
      <c r="E115" s="185"/>
      <c r="F115" s="185"/>
      <c r="G115" s="185"/>
      <c r="H115" s="192"/>
      <c r="I115" s="192"/>
      <c r="J115" s="274"/>
    </row>
    <row r="116" spans="1:10" ht="15.75" hidden="1" x14ac:dyDescent="0.25">
      <c r="A116" s="169"/>
      <c r="B116" s="123"/>
      <c r="C116" s="185"/>
      <c r="D116" s="185"/>
      <c r="E116" s="185"/>
      <c r="F116" s="185"/>
      <c r="G116" s="185"/>
      <c r="H116" s="192"/>
      <c r="I116" s="192"/>
      <c r="J116" s="274"/>
    </row>
    <row r="117" spans="1:10" ht="15.75" hidden="1" x14ac:dyDescent="0.25">
      <c r="A117" s="169"/>
      <c r="B117" s="123"/>
      <c r="C117" s="185"/>
      <c r="D117" s="185"/>
      <c r="E117" s="185"/>
      <c r="F117" s="185"/>
      <c r="G117" s="185"/>
      <c r="H117" s="192"/>
      <c r="I117" s="192"/>
      <c r="J117" s="274"/>
    </row>
    <row r="118" spans="1:10" ht="15.75" hidden="1" x14ac:dyDescent="0.25">
      <c r="A118" s="169"/>
      <c r="B118" s="123"/>
      <c r="C118" s="185"/>
      <c r="D118" s="185"/>
      <c r="E118" s="185"/>
      <c r="F118" s="185"/>
      <c r="G118" s="185"/>
      <c r="H118" s="192"/>
      <c r="I118" s="192"/>
      <c r="J118" s="274"/>
    </row>
    <row r="119" spans="1:10" ht="15.75" hidden="1" x14ac:dyDescent="0.25">
      <c r="A119" s="169"/>
      <c r="B119" s="123"/>
      <c r="C119" s="185"/>
      <c r="D119" s="185"/>
      <c r="E119" s="185"/>
      <c r="F119" s="185"/>
      <c r="G119" s="185"/>
      <c r="H119" s="192"/>
      <c r="I119" s="192"/>
      <c r="J119" s="274"/>
    </row>
    <row r="120" spans="1:10" ht="79.5" customHeight="1" x14ac:dyDescent="0.25">
      <c r="A120" s="169"/>
      <c r="B120" s="123" t="s">
        <v>472</v>
      </c>
      <c r="C120" s="185"/>
      <c r="D120" s="185">
        <v>1177853</v>
      </c>
      <c r="E120" s="185"/>
      <c r="F120" s="185">
        <v>1177853</v>
      </c>
      <c r="G120" s="185">
        <v>1538259</v>
      </c>
      <c r="H120" s="192">
        <f>8075+76473</f>
        <v>84548</v>
      </c>
      <c r="I120" s="192">
        <f>8075+76473</f>
        <v>84548</v>
      </c>
      <c r="J120" s="274" t="s">
        <v>691</v>
      </c>
    </row>
    <row r="121" spans="1:10" ht="66" customHeight="1" x14ac:dyDescent="0.25">
      <c r="A121" s="169"/>
      <c r="B121" s="123" t="s">
        <v>473</v>
      </c>
      <c r="C121" s="185"/>
      <c r="D121" s="185">
        <f>150000+213000+392639</f>
        <v>755639</v>
      </c>
      <c r="E121" s="185"/>
      <c r="F121" s="185">
        <v>605639</v>
      </c>
      <c r="G121" s="185"/>
      <c r="H121" s="192"/>
      <c r="I121" s="192"/>
      <c r="J121" s="274" t="s">
        <v>761</v>
      </c>
    </row>
    <row r="122" spans="1:10" ht="41.25" customHeight="1" x14ac:dyDescent="0.25">
      <c r="A122" s="169"/>
      <c r="B122" s="123" t="s">
        <v>474</v>
      </c>
      <c r="C122" s="185"/>
      <c r="D122" s="185">
        <f>1241511+4420581</f>
        <v>5662092</v>
      </c>
      <c r="E122" s="185"/>
      <c r="F122" s="185">
        <v>5237283</v>
      </c>
      <c r="G122" s="185">
        <v>1371325</v>
      </c>
      <c r="H122" s="192">
        <f>17420+104741+50000+28400+11000+13415+92821+79579+417517</f>
        <v>814893</v>
      </c>
      <c r="I122" s="192">
        <f>17420+104741+50000+28400+11000+13415+92821+79579+417517</f>
        <v>814893</v>
      </c>
      <c r="J122" s="274" t="s">
        <v>762</v>
      </c>
    </row>
    <row r="123" spans="1:10" ht="130.5" customHeight="1" x14ac:dyDescent="0.25">
      <c r="A123" s="169"/>
      <c r="B123" s="123" t="s">
        <v>475</v>
      </c>
      <c r="C123" s="185"/>
      <c r="D123" s="185">
        <v>13296883</v>
      </c>
      <c r="E123" s="185"/>
      <c r="F123" s="185">
        <v>13296883</v>
      </c>
      <c r="G123" s="185"/>
      <c r="H123" s="192"/>
      <c r="I123" s="192"/>
      <c r="J123" s="274" t="s">
        <v>692</v>
      </c>
    </row>
    <row r="124" spans="1:10" ht="42" customHeight="1" x14ac:dyDescent="0.25">
      <c r="A124" s="169"/>
      <c r="B124" s="123" t="s">
        <v>476</v>
      </c>
      <c r="C124" s="185"/>
      <c r="D124" s="185">
        <v>360060</v>
      </c>
      <c r="E124" s="185"/>
      <c r="F124" s="185">
        <v>360060</v>
      </c>
      <c r="G124" s="185"/>
      <c r="H124" s="192"/>
      <c r="I124" s="192"/>
      <c r="J124" s="274" t="s">
        <v>693</v>
      </c>
    </row>
    <row r="125" spans="1:10" ht="132" customHeight="1" x14ac:dyDescent="0.25">
      <c r="A125" s="169"/>
      <c r="B125" s="123" t="s">
        <v>475</v>
      </c>
      <c r="C125" s="185"/>
      <c r="D125" s="185">
        <v>1810093</v>
      </c>
      <c r="E125" s="185"/>
      <c r="F125" s="185">
        <v>1810093</v>
      </c>
      <c r="G125" s="185"/>
      <c r="H125" s="192"/>
      <c r="I125" s="192"/>
      <c r="J125" s="274" t="s">
        <v>763</v>
      </c>
    </row>
    <row r="126" spans="1:10" ht="28.5" customHeight="1" x14ac:dyDescent="0.25">
      <c r="A126" s="169"/>
      <c r="B126" s="123"/>
      <c r="C126" s="185"/>
      <c r="D126" s="185">
        <f>82064615+7637191+3084375+17754586+8632427</f>
        <v>119173194</v>
      </c>
      <c r="E126" s="185"/>
      <c r="F126" s="185">
        <v>119173194</v>
      </c>
      <c r="G126" s="185"/>
      <c r="H126" s="192">
        <v>21647025</v>
      </c>
      <c r="I126" s="192">
        <v>21647025</v>
      </c>
      <c r="J126" s="274" t="s">
        <v>764</v>
      </c>
    </row>
    <row r="127" spans="1:10" ht="15.75" x14ac:dyDescent="0.25">
      <c r="A127" s="169"/>
      <c r="B127" s="123"/>
      <c r="C127" s="185"/>
      <c r="D127" s="185">
        <f>1646222+196243+63630+308067+2210967</f>
        <v>4425129</v>
      </c>
      <c r="E127" s="185"/>
      <c r="F127" s="185">
        <v>4425129</v>
      </c>
      <c r="G127" s="185"/>
      <c r="H127" s="192"/>
      <c r="I127" s="192"/>
      <c r="J127" s="156" t="s">
        <v>422</v>
      </c>
    </row>
    <row r="128" spans="1:10" ht="15.75" x14ac:dyDescent="0.25">
      <c r="A128" s="169"/>
      <c r="B128" s="123"/>
      <c r="C128" s="185"/>
      <c r="D128" s="185">
        <f>889165+114909+49776+484831+551253</f>
        <v>2089934</v>
      </c>
      <c r="E128" s="185"/>
      <c r="F128" s="185">
        <v>2089934</v>
      </c>
      <c r="G128" s="185"/>
      <c r="H128" s="192"/>
      <c r="I128" s="192"/>
      <c r="J128" s="156" t="s">
        <v>422</v>
      </c>
    </row>
    <row r="129" spans="1:11" ht="38.25" hidden="1" x14ac:dyDescent="0.25">
      <c r="A129" s="169"/>
      <c r="B129" s="123" t="s">
        <v>482</v>
      </c>
      <c r="C129" s="185"/>
      <c r="D129" s="185">
        <v>96073632</v>
      </c>
      <c r="E129" s="185"/>
      <c r="F129" s="185">
        <v>0</v>
      </c>
      <c r="G129" s="185"/>
      <c r="H129" s="192"/>
      <c r="I129" s="192"/>
      <c r="J129" s="274"/>
    </row>
    <row r="130" spans="1:11" ht="30" customHeight="1" x14ac:dyDescent="0.25">
      <c r="A130" s="169"/>
      <c r="B130" s="123"/>
      <c r="C130" s="185"/>
      <c r="D130" s="185">
        <f>5683741+712489+13098+890672</f>
        <v>7300000</v>
      </c>
      <c r="E130" s="185">
        <f t="shared" ref="E130" si="23">SUM(E131:E131)</f>
        <v>0</v>
      </c>
      <c r="F130" s="185">
        <v>7300000</v>
      </c>
      <c r="G130" s="185"/>
      <c r="H130" s="192"/>
      <c r="I130" s="192"/>
      <c r="J130" s="274" t="s">
        <v>765</v>
      </c>
    </row>
    <row r="131" spans="1:11" ht="19.5" customHeight="1" x14ac:dyDescent="0.25">
      <c r="A131" s="169"/>
      <c r="B131" s="123"/>
      <c r="C131" s="185"/>
      <c r="D131" s="185">
        <f>17028099+2312168+334066+992141+27889937-7300000</f>
        <v>41256411</v>
      </c>
      <c r="E131" s="185"/>
      <c r="F131" s="185">
        <f>48556411-7300000</f>
        <v>41256411</v>
      </c>
      <c r="G131" s="185"/>
      <c r="H131" s="192"/>
      <c r="I131" s="192"/>
      <c r="J131" s="274" t="s">
        <v>800</v>
      </c>
    </row>
    <row r="132" spans="1:11" ht="15.75" hidden="1" x14ac:dyDescent="0.25">
      <c r="A132" s="169"/>
      <c r="B132" s="123"/>
      <c r="C132" s="185"/>
      <c r="D132" s="185"/>
      <c r="E132" s="185"/>
      <c r="F132" s="185"/>
      <c r="G132" s="185"/>
      <c r="H132" s="192"/>
      <c r="I132" s="192"/>
      <c r="J132" s="274"/>
    </row>
    <row r="133" spans="1:11" ht="15.75" hidden="1" x14ac:dyDescent="0.25">
      <c r="A133" s="169"/>
      <c r="B133" s="123"/>
      <c r="C133" s="185"/>
      <c r="D133" s="185"/>
      <c r="E133" s="185"/>
      <c r="F133" s="185"/>
      <c r="G133" s="185"/>
      <c r="H133" s="192"/>
      <c r="I133" s="192"/>
      <c r="J133" s="274"/>
    </row>
    <row r="134" spans="1:11" ht="15.75" hidden="1" x14ac:dyDescent="0.25">
      <c r="A134" s="169"/>
      <c r="B134" s="123"/>
      <c r="C134" s="185"/>
      <c r="D134" s="185"/>
      <c r="E134" s="185"/>
      <c r="F134" s="185"/>
      <c r="G134" s="185"/>
      <c r="H134" s="192"/>
      <c r="I134" s="192"/>
      <c r="J134" s="274"/>
    </row>
    <row r="135" spans="1:11" ht="51" hidden="1" x14ac:dyDescent="0.25">
      <c r="A135" s="169" t="s">
        <v>58</v>
      </c>
      <c r="B135" s="198" t="s">
        <v>59</v>
      </c>
      <c r="C135" s="171">
        <f t="shared" ref="C135:I135" si="24">C136+C138</f>
        <v>0</v>
      </c>
      <c r="D135" s="171">
        <f t="shared" si="24"/>
        <v>0</v>
      </c>
      <c r="E135" s="171">
        <f t="shared" si="24"/>
        <v>0</v>
      </c>
      <c r="F135" s="171">
        <f t="shared" ref="F135:G135" si="25">F136+F138</f>
        <v>0</v>
      </c>
      <c r="G135" s="171">
        <f t="shared" si="25"/>
        <v>0</v>
      </c>
      <c r="H135" s="171">
        <f t="shared" si="24"/>
        <v>0</v>
      </c>
      <c r="I135" s="171">
        <f t="shared" si="24"/>
        <v>0</v>
      </c>
      <c r="J135" s="199"/>
    </row>
    <row r="136" spans="1:11" ht="38.25" hidden="1" x14ac:dyDescent="0.25">
      <c r="A136" s="169"/>
      <c r="B136" s="200" t="s">
        <v>57</v>
      </c>
      <c r="C136" s="202">
        <f t="shared" ref="C136:I136" si="26">SUM(C137:C137)</f>
        <v>0</v>
      </c>
      <c r="D136" s="202">
        <f t="shared" si="26"/>
        <v>0</v>
      </c>
      <c r="E136" s="202">
        <f t="shared" si="26"/>
        <v>0</v>
      </c>
      <c r="F136" s="202">
        <f t="shared" si="26"/>
        <v>0</v>
      </c>
      <c r="G136" s="202">
        <f t="shared" si="26"/>
        <v>0</v>
      </c>
      <c r="H136" s="202">
        <f t="shared" si="26"/>
        <v>0</v>
      </c>
      <c r="I136" s="202">
        <f t="shared" si="26"/>
        <v>0</v>
      </c>
      <c r="J136" s="183"/>
    </row>
    <row r="137" spans="1:11" ht="15.75" hidden="1" x14ac:dyDescent="0.25">
      <c r="A137" s="169"/>
      <c r="B137" s="203"/>
      <c r="C137" s="204"/>
      <c r="D137" s="205"/>
      <c r="E137" s="205"/>
      <c r="F137" s="205"/>
      <c r="G137" s="205"/>
      <c r="H137" s="205"/>
      <c r="I137" s="205"/>
      <c r="J137" s="274"/>
      <c r="K137" s="182"/>
    </row>
    <row r="138" spans="1:11" ht="25.5" hidden="1" x14ac:dyDescent="0.25">
      <c r="A138" s="169"/>
      <c r="B138" s="200" t="s">
        <v>67</v>
      </c>
      <c r="C138" s="175">
        <f>C139+C140</f>
        <v>0</v>
      </c>
      <c r="D138" s="175">
        <f t="shared" ref="D138:I138" si="27">D139+D140</f>
        <v>0</v>
      </c>
      <c r="E138" s="175">
        <f t="shared" si="27"/>
        <v>0</v>
      </c>
      <c r="F138" s="175">
        <f t="shared" ref="F138:G138" si="28">F139+F140</f>
        <v>0</v>
      </c>
      <c r="G138" s="175">
        <f t="shared" si="28"/>
        <v>0</v>
      </c>
      <c r="H138" s="175">
        <f t="shared" si="27"/>
        <v>0</v>
      </c>
      <c r="I138" s="175">
        <f t="shared" si="27"/>
        <v>0</v>
      </c>
      <c r="J138" s="274"/>
    </row>
    <row r="139" spans="1:11" ht="15.75" hidden="1" x14ac:dyDescent="0.25">
      <c r="A139" s="169"/>
      <c r="B139" s="284"/>
      <c r="C139" s="175"/>
      <c r="D139" s="205"/>
      <c r="E139" s="205"/>
      <c r="F139" s="205"/>
      <c r="G139" s="205"/>
      <c r="H139" s="205"/>
      <c r="I139" s="205"/>
      <c r="J139" s="274"/>
    </row>
    <row r="140" spans="1:11" ht="15.75" hidden="1" x14ac:dyDescent="0.25">
      <c r="A140" s="169"/>
      <c r="B140" s="284"/>
      <c r="C140" s="175"/>
      <c r="D140" s="205"/>
      <c r="E140" s="205"/>
      <c r="F140" s="205"/>
      <c r="G140" s="205"/>
      <c r="H140" s="205"/>
      <c r="I140" s="205"/>
      <c r="J140" s="274"/>
    </row>
    <row r="141" spans="1:11" ht="28.5" customHeight="1" x14ac:dyDescent="0.25">
      <c r="A141" s="169" t="s">
        <v>178</v>
      </c>
      <c r="B141" s="206" t="s">
        <v>60</v>
      </c>
      <c r="C141" s="171">
        <f>C142+C144+C146</f>
        <v>0</v>
      </c>
      <c r="D141" s="171">
        <f t="shared" ref="D141:I141" si="29">D142+D144+D146</f>
        <v>9944224</v>
      </c>
      <c r="E141" s="171">
        <f t="shared" si="29"/>
        <v>0</v>
      </c>
      <c r="F141" s="171">
        <f t="shared" ref="F141:G141" si="30">F142+F144+F146</f>
        <v>5847164</v>
      </c>
      <c r="G141" s="171">
        <f t="shared" si="30"/>
        <v>0</v>
      </c>
      <c r="H141" s="171">
        <f t="shared" si="29"/>
        <v>1158160</v>
      </c>
      <c r="I141" s="171">
        <f t="shared" si="29"/>
        <v>0</v>
      </c>
      <c r="J141" s="123"/>
    </row>
    <row r="142" spans="1:11" ht="38.25" hidden="1" x14ac:dyDescent="0.25">
      <c r="A142" s="169"/>
      <c r="B142" s="174" t="s">
        <v>46</v>
      </c>
      <c r="C142" s="175">
        <f>C143</f>
        <v>0</v>
      </c>
      <c r="D142" s="175">
        <f t="shared" ref="D142:I142" si="31">D143</f>
        <v>0</v>
      </c>
      <c r="E142" s="175">
        <f t="shared" si="31"/>
        <v>0</v>
      </c>
      <c r="F142" s="175">
        <f t="shared" si="31"/>
        <v>0</v>
      </c>
      <c r="G142" s="175">
        <f t="shared" si="31"/>
        <v>0</v>
      </c>
      <c r="H142" s="175">
        <f t="shared" si="31"/>
        <v>0</v>
      </c>
      <c r="I142" s="175">
        <f t="shared" si="31"/>
        <v>0</v>
      </c>
      <c r="J142" s="123"/>
    </row>
    <row r="143" spans="1:11" ht="15.75" hidden="1" x14ac:dyDescent="0.25">
      <c r="A143" s="169"/>
      <c r="B143" s="207"/>
      <c r="C143" s="176"/>
      <c r="D143" s="176"/>
      <c r="E143" s="176"/>
      <c r="F143" s="176"/>
      <c r="G143" s="176"/>
      <c r="H143" s="176"/>
      <c r="I143" s="176"/>
      <c r="J143" s="274"/>
      <c r="K143" s="182"/>
    </row>
    <row r="144" spans="1:11" ht="25.5" hidden="1" x14ac:dyDescent="0.25">
      <c r="A144" s="169"/>
      <c r="B144" s="174" t="s">
        <v>51</v>
      </c>
      <c r="C144" s="175">
        <f t="shared" ref="C144:I144" si="32">SUM(C145:C145)</f>
        <v>0</v>
      </c>
      <c r="D144" s="175">
        <f t="shared" si="32"/>
        <v>0</v>
      </c>
      <c r="E144" s="175">
        <f t="shared" si="32"/>
        <v>0</v>
      </c>
      <c r="F144" s="175">
        <f t="shared" si="32"/>
        <v>0</v>
      </c>
      <c r="G144" s="175">
        <f t="shared" si="32"/>
        <v>0</v>
      </c>
      <c r="H144" s="175">
        <f t="shared" si="32"/>
        <v>0</v>
      </c>
      <c r="I144" s="175">
        <f t="shared" si="32"/>
        <v>0</v>
      </c>
      <c r="J144" s="199"/>
    </row>
    <row r="145" spans="1:11" ht="15.75" hidden="1" x14ac:dyDescent="0.25">
      <c r="A145" s="169"/>
      <c r="B145" s="274"/>
      <c r="C145" s="176"/>
      <c r="D145" s="176"/>
      <c r="E145" s="176"/>
      <c r="F145" s="176"/>
      <c r="G145" s="176"/>
      <c r="H145" s="208"/>
      <c r="I145" s="176"/>
      <c r="J145" s="274"/>
    </row>
    <row r="146" spans="1:11" ht="15.75" x14ac:dyDescent="0.25">
      <c r="A146" s="169"/>
      <c r="B146" s="200" t="s">
        <v>36</v>
      </c>
      <c r="C146" s="175">
        <f>SUM(C147:C150)</f>
        <v>0</v>
      </c>
      <c r="D146" s="175">
        <f t="shared" ref="D146:I146" si="33">SUM(D147:D150)</f>
        <v>9944224</v>
      </c>
      <c r="E146" s="175">
        <f t="shared" si="33"/>
        <v>0</v>
      </c>
      <c r="F146" s="175">
        <f t="shared" si="33"/>
        <v>5847164</v>
      </c>
      <c r="G146" s="175">
        <f t="shared" si="33"/>
        <v>0</v>
      </c>
      <c r="H146" s="175">
        <f t="shared" si="33"/>
        <v>1158160</v>
      </c>
      <c r="I146" s="175">
        <f t="shared" si="33"/>
        <v>0</v>
      </c>
      <c r="J146" s="274"/>
    </row>
    <row r="147" spans="1:11" ht="56.25" customHeight="1" x14ac:dyDescent="0.25">
      <c r="A147" s="169"/>
      <c r="B147" s="158" t="s">
        <v>486</v>
      </c>
      <c r="C147" s="176"/>
      <c r="D147" s="185">
        <v>5597060</v>
      </c>
      <c r="E147" s="185"/>
      <c r="F147" s="185">
        <v>1500000</v>
      </c>
      <c r="G147" s="185"/>
      <c r="H147" s="176">
        <v>1158160</v>
      </c>
      <c r="I147" s="176"/>
      <c r="J147" s="274" t="s">
        <v>766</v>
      </c>
      <c r="K147" s="209"/>
    </row>
    <row r="148" spans="1:11" ht="15.75" hidden="1" x14ac:dyDescent="0.25">
      <c r="A148" s="169"/>
      <c r="B148" s="158"/>
      <c r="C148" s="176"/>
      <c r="D148" s="185"/>
      <c r="E148" s="185"/>
      <c r="F148" s="185"/>
      <c r="G148" s="185"/>
      <c r="H148" s="176"/>
      <c r="I148" s="176"/>
      <c r="J148" s="274"/>
      <c r="K148" s="210"/>
    </row>
    <row r="149" spans="1:11" ht="105" customHeight="1" x14ac:dyDescent="0.25">
      <c r="A149" s="169"/>
      <c r="B149" s="158" t="s">
        <v>490</v>
      </c>
      <c r="C149" s="176"/>
      <c r="D149" s="211">
        <v>2000000</v>
      </c>
      <c r="E149" s="211"/>
      <c r="F149" s="185">
        <v>2000000</v>
      </c>
      <c r="G149" s="185"/>
      <c r="H149" s="176"/>
      <c r="I149" s="176"/>
      <c r="J149" s="212" t="s">
        <v>694</v>
      </c>
      <c r="K149" s="210"/>
    </row>
    <row r="150" spans="1:11" ht="25.5" x14ac:dyDescent="0.25">
      <c r="A150" s="169"/>
      <c r="B150" s="158" t="s">
        <v>334</v>
      </c>
      <c r="C150" s="176"/>
      <c r="D150" s="211">
        <v>2347164</v>
      </c>
      <c r="E150" s="211"/>
      <c r="F150" s="185">
        <v>2347164</v>
      </c>
      <c r="G150" s="185"/>
      <c r="H150" s="176"/>
      <c r="I150" s="176"/>
      <c r="J150" s="156" t="s">
        <v>685</v>
      </c>
      <c r="K150" s="210"/>
    </row>
    <row r="151" spans="1:11" ht="38.25" hidden="1" x14ac:dyDescent="0.25">
      <c r="A151" s="169" t="s">
        <v>22</v>
      </c>
      <c r="B151" s="213" t="s">
        <v>23</v>
      </c>
      <c r="C151" s="171">
        <f t="shared" ref="C151:I152" si="34">C152</f>
        <v>0</v>
      </c>
      <c r="D151" s="171">
        <f t="shared" si="34"/>
        <v>0</v>
      </c>
      <c r="E151" s="171">
        <f t="shared" si="34"/>
        <v>0</v>
      </c>
      <c r="F151" s="171">
        <f t="shared" si="34"/>
        <v>0</v>
      </c>
      <c r="G151" s="171">
        <f t="shared" si="34"/>
        <v>0</v>
      </c>
      <c r="H151" s="171">
        <f t="shared" si="34"/>
        <v>0</v>
      </c>
      <c r="I151" s="171">
        <f t="shared" si="34"/>
        <v>0</v>
      </c>
      <c r="J151" s="123"/>
    </row>
    <row r="152" spans="1:11" ht="25.5" hidden="1" x14ac:dyDescent="0.25">
      <c r="A152" s="169" t="s">
        <v>24</v>
      </c>
      <c r="B152" s="214" t="s">
        <v>130</v>
      </c>
      <c r="C152" s="171">
        <f>C153</f>
        <v>0</v>
      </c>
      <c r="D152" s="171">
        <f t="shared" si="34"/>
        <v>0</v>
      </c>
      <c r="E152" s="171">
        <f t="shared" si="34"/>
        <v>0</v>
      </c>
      <c r="F152" s="171">
        <f t="shared" si="34"/>
        <v>0</v>
      </c>
      <c r="G152" s="171">
        <f t="shared" si="34"/>
        <v>0</v>
      </c>
      <c r="H152" s="171">
        <f t="shared" si="34"/>
        <v>0</v>
      </c>
      <c r="I152" s="171">
        <f t="shared" si="34"/>
        <v>0</v>
      </c>
      <c r="J152" s="123"/>
    </row>
    <row r="153" spans="1:11" ht="25.5" hidden="1" x14ac:dyDescent="0.25">
      <c r="A153" s="169"/>
      <c r="B153" s="157" t="s">
        <v>34</v>
      </c>
      <c r="C153" s="175">
        <f>C154</f>
        <v>0</v>
      </c>
      <c r="D153" s="175">
        <f t="shared" ref="D153:I153" si="35">D154</f>
        <v>0</v>
      </c>
      <c r="E153" s="175">
        <f t="shared" si="35"/>
        <v>0</v>
      </c>
      <c r="F153" s="175">
        <f t="shared" si="35"/>
        <v>0</v>
      </c>
      <c r="G153" s="175">
        <f t="shared" si="35"/>
        <v>0</v>
      </c>
      <c r="H153" s="175">
        <f t="shared" si="35"/>
        <v>0</v>
      </c>
      <c r="I153" s="175">
        <f t="shared" si="35"/>
        <v>0</v>
      </c>
      <c r="J153" s="123"/>
    </row>
    <row r="154" spans="1:11" ht="15.75" hidden="1" x14ac:dyDescent="0.25">
      <c r="A154" s="169"/>
      <c r="B154" s="274"/>
      <c r="C154" s="176"/>
      <c r="D154" s="176"/>
      <c r="E154" s="176"/>
      <c r="F154" s="176"/>
      <c r="G154" s="176"/>
      <c r="H154" s="176"/>
      <c r="I154" s="176"/>
      <c r="J154" s="274"/>
    </row>
    <row r="155" spans="1:11" ht="54.75" customHeight="1" x14ac:dyDescent="0.25">
      <c r="A155" s="169" t="s">
        <v>179</v>
      </c>
      <c r="B155" s="198" t="s">
        <v>70</v>
      </c>
      <c r="C155" s="171">
        <f t="shared" ref="C155:I155" si="36">C156+C165+C168</f>
        <v>4037400</v>
      </c>
      <c r="D155" s="171">
        <f t="shared" si="36"/>
        <v>34855000</v>
      </c>
      <c r="E155" s="171">
        <f t="shared" si="36"/>
        <v>0</v>
      </c>
      <c r="F155" s="171">
        <f t="shared" ref="F155:G155" si="37">F156+F165+F168</f>
        <v>3743338</v>
      </c>
      <c r="G155" s="171">
        <f t="shared" si="37"/>
        <v>0</v>
      </c>
      <c r="H155" s="171">
        <f t="shared" si="36"/>
        <v>10</v>
      </c>
      <c r="I155" s="171">
        <f t="shared" si="36"/>
        <v>10</v>
      </c>
      <c r="J155" s="123"/>
    </row>
    <row r="156" spans="1:11" ht="54.75" customHeight="1" x14ac:dyDescent="0.25">
      <c r="A156" s="169" t="s">
        <v>722</v>
      </c>
      <c r="B156" s="173" t="s">
        <v>767</v>
      </c>
      <c r="C156" s="171">
        <f>C159+C157+C163</f>
        <v>4037400</v>
      </c>
      <c r="D156" s="171">
        <f t="shared" ref="D156:I156" si="38">D159+D157+D163</f>
        <v>31111662</v>
      </c>
      <c r="E156" s="171">
        <f t="shared" si="38"/>
        <v>0</v>
      </c>
      <c r="F156" s="171">
        <f t="shared" ref="F156:G156" si="39">F159+F157+F163</f>
        <v>0</v>
      </c>
      <c r="G156" s="171">
        <f t="shared" si="39"/>
        <v>0</v>
      </c>
      <c r="H156" s="171">
        <f t="shared" si="38"/>
        <v>0</v>
      </c>
      <c r="I156" s="171">
        <f t="shared" si="38"/>
        <v>0</v>
      </c>
      <c r="J156" s="123"/>
    </row>
    <row r="157" spans="1:11" ht="38.25" hidden="1" x14ac:dyDescent="0.25">
      <c r="A157" s="169"/>
      <c r="B157" s="215" t="s">
        <v>44</v>
      </c>
      <c r="C157" s="175">
        <f t="shared" ref="C157:I157" si="40">C158</f>
        <v>0</v>
      </c>
      <c r="D157" s="175">
        <f t="shared" si="40"/>
        <v>31111662</v>
      </c>
      <c r="E157" s="175">
        <f t="shared" si="40"/>
        <v>0</v>
      </c>
      <c r="F157" s="175">
        <f t="shared" si="40"/>
        <v>0</v>
      </c>
      <c r="G157" s="175">
        <f t="shared" si="40"/>
        <v>0</v>
      </c>
      <c r="H157" s="175">
        <f t="shared" si="40"/>
        <v>0</v>
      </c>
      <c r="I157" s="175">
        <f t="shared" si="40"/>
        <v>0</v>
      </c>
      <c r="J157" s="123"/>
    </row>
    <row r="158" spans="1:11" ht="89.25" hidden="1" x14ac:dyDescent="0.25">
      <c r="A158" s="169"/>
      <c r="B158" s="216" t="s">
        <v>286</v>
      </c>
      <c r="C158" s="176"/>
      <c r="D158" s="217">
        <v>31111662</v>
      </c>
      <c r="E158" s="217"/>
      <c r="F158" s="217"/>
      <c r="G158" s="217"/>
      <c r="H158" s="217"/>
      <c r="I158" s="217"/>
      <c r="J158" s="274"/>
    </row>
    <row r="159" spans="1:11" ht="28.5" customHeight="1" x14ac:dyDescent="0.25">
      <c r="A159" s="169"/>
      <c r="B159" s="174" t="s">
        <v>67</v>
      </c>
      <c r="C159" s="175">
        <f>C160+C161+C162</f>
        <v>4037400</v>
      </c>
      <c r="D159" s="175">
        <f t="shared" ref="D159:I159" si="41">D160+D161+D162</f>
        <v>0</v>
      </c>
      <c r="E159" s="175">
        <f t="shared" si="41"/>
        <v>0</v>
      </c>
      <c r="F159" s="175">
        <f t="shared" ref="F159:G159" si="42">F160+F161+F162</f>
        <v>0</v>
      </c>
      <c r="G159" s="175">
        <f t="shared" si="42"/>
        <v>0</v>
      </c>
      <c r="H159" s="175">
        <f t="shared" si="41"/>
        <v>0</v>
      </c>
      <c r="I159" s="175">
        <f t="shared" si="41"/>
        <v>0</v>
      </c>
      <c r="J159" s="123"/>
    </row>
    <row r="160" spans="1:11" ht="92.25" customHeight="1" x14ac:dyDescent="0.25">
      <c r="A160" s="169"/>
      <c r="B160" s="274" t="s">
        <v>768</v>
      </c>
      <c r="C160" s="208">
        <v>840200</v>
      </c>
      <c r="D160" s="218"/>
      <c r="E160" s="217"/>
      <c r="F160" s="218"/>
      <c r="G160" s="217"/>
      <c r="H160" s="176"/>
      <c r="I160" s="176"/>
      <c r="J160" s="274" t="s">
        <v>695</v>
      </c>
    </row>
    <row r="161" spans="1:10" ht="104.25" customHeight="1" x14ac:dyDescent="0.25">
      <c r="A161" s="169"/>
      <c r="B161" s="274" t="s">
        <v>769</v>
      </c>
      <c r="C161" s="208">
        <v>3197200</v>
      </c>
      <c r="D161" s="218"/>
      <c r="E161" s="217"/>
      <c r="F161" s="218"/>
      <c r="G161" s="217"/>
      <c r="H161" s="176"/>
      <c r="I161" s="176"/>
      <c r="J161" s="274" t="s">
        <v>695</v>
      </c>
    </row>
    <row r="162" spans="1:10" ht="69" customHeight="1" x14ac:dyDescent="0.25">
      <c r="A162" s="169"/>
      <c r="B162" s="123" t="s">
        <v>643</v>
      </c>
      <c r="C162" s="218"/>
      <c r="D162" s="218"/>
      <c r="E162" s="217"/>
      <c r="F162" s="218"/>
      <c r="G162" s="217"/>
      <c r="H162" s="176"/>
      <c r="I162" s="176"/>
      <c r="J162" s="219" t="s">
        <v>770</v>
      </c>
    </row>
    <row r="163" spans="1:10" ht="63.75" hidden="1" x14ac:dyDescent="0.25">
      <c r="A163" s="169"/>
      <c r="B163" s="200" t="s">
        <v>145</v>
      </c>
      <c r="C163" s="175">
        <f>C164</f>
        <v>0</v>
      </c>
      <c r="D163" s="175">
        <f t="shared" ref="D163:I163" si="43">D164</f>
        <v>0</v>
      </c>
      <c r="E163" s="175">
        <f t="shared" si="43"/>
        <v>0</v>
      </c>
      <c r="F163" s="175">
        <f t="shared" si="43"/>
        <v>0</v>
      </c>
      <c r="G163" s="175">
        <f t="shared" si="43"/>
        <v>0</v>
      </c>
      <c r="H163" s="175">
        <f t="shared" si="43"/>
        <v>0</v>
      </c>
      <c r="I163" s="175">
        <f t="shared" si="43"/>
        <v>0</v>
      </c>
      <c r="J163" s="274"/>
    </row>
    <row r="164" spans="1:10" ht="15.75" hidden="1" x14ac:dyDescent="0.25">
      <c r="A164" s="169"/>
      <c r="B164" s="216"/>
      <c r="C164" s="176"/>
      <c r="D164" s="217"/>
      <c r="E164" s="217"/>
      <c r="F164" s="217"/>
      <c r="G164" s="217"/>
      <c r="H164" s="217"/>
      <c r="I164" s="217"/>
      <c r="J164" s="274"/>
    </row>
    <row r="165" spans="1:10" ht="63.75" hidden="1" x14ac:dyDescent="0.25">
      <c r="A165" s="169" t="s">
        <v>180</v>
      </c>
      <c r="B165" s="198" t="s">
        <v>71</v>
      </c>
      <c r="C165" s="171">
        <f t="shared" ref="C165:I166" si="44">C166</f>
        <v>0</v>
      </c>
      <c r="D165" s="171">
        <f t="shared" si="44"/>
        <v>0</v>
      </c>
      <c r="E165" s="171">
        <f t="shared" si="44"/>
        <v>0</v>
      </c>
      <c r="F165" s="171">
        <f t="shared" si="44"/>
        <v>0</v>
      </c>
      <c r="G165" s="171">
        <f t="shared" si="44"/>
        <v>0</v>
      </c>
      <c r="H165" s="171">
        <f t="shared" si="44"/>
        <v>0</v>
      </c>
      <c r="I165" s="171">
        <f t="shared" si="44"/>
        <v>0</v>
      </c>
      <c r="J165" s="123"/>
    </row>
    <row r="166" spans="1:10" ht="25.5" hidden="1" x14ac:dyDescent="0.25">
      <c r="A166" s="169"/>
      <c r="B166" s="174" t="s">
        <v>67</v>
      </c>
      <c r="C166" s="175">
        <f>C167</f>
        <v>0</v>
      </c>
      <c r="D166" s="175">
        <f t="shared" si="44"/>
        <v>0</v>
      </c>
      <c r="E166" s="175">
        <f t="shared" si="44"/>
        <v>0</v>
      </c>
      <c r="F166" s="175">
        <f t="shared" si="44"/>
        <v>0</v>
      </c>
      <c r="G166" s="175">
        <f t="shared" si="44"/>
        <v>0</v>
      </c>
      <c r="H166" s="175">
        <f t="shared" si="44"/>
        <v>0</v>
      </c>
      <c r="I166" s="175">
        <f t="shared" si="44"/>
        <v>0</v>
      </c>
      <c r="J166" s="123"/>
    </row>
    <row r="167" spans="1:10" ht="15.75" hidden="1" x14ac:dyDescent="0.25">
      <c r="A167" s="169"/>
      <c r="B167" s="215"/>
      <c r="C167" s="175"/>
      <c r="D167" s="220"/>
      <c r="E167" s="175"/>
      <c r="F167" s="220"/>
      <c r="G167" s="175"/>
      <c r="H167" s="175"/>
      <c r="I167" s="175"/>
      <c r="J167" s="123"/>
    </row>
    <row r="168" spans="1:10" ht="40.5" customHeight="1" x14ac:dyDescent="0.25">
      <c r="A168" s="169" t="s">
        <v>181</v>
      </c>
      <c r="B168" s="221" t="s">
        <v>131</v>
      </c>
      <c r="C168" s="171">
        <f t="shared" ref="C168:I168" si="45">C169</f>
        <v>0</v>
      </c>
      <c r="D168" s="171">
        <f t="shared" si="45"/>
        <v>3743338</v>
      </c>
      <c r="E168" s="171">
        <f t="shared" si="45"/>
        <v>0</v>
      </c>
      <c r="F168" s="171">
        <f t="shared" si="45"/>
        <v>3743338</v>
      </c>
      <c r="G168" s="171">
        <f t="shared" si="45"/>
        <v>0</v>
      </c>
      <c r="H168" s="171">
        <f t="shared" si="45"/>
        <v>10</v>
      </c>
      <c r="I168" s="171">
        <f t="shared" si="45"/>
        <v>10</v>
      </c>
      <c r="J168" s="123"/>
    </row>
    <row r="169" spans="1:10" ht="29.25" customHeight="1" x14ac:dyDescent="0.25">
      <c r="A169" s="169"/>
      <c r="B169" s="174" t="s">
        <v>67</v>
      </c>
      <c r="C169" s="175">
        <f>C170+C171</f>
        <v>0</v>
      </c>
      <c r="D169" s="175">
        <f t="shared" ref="D169:I169" si="46">D170+D171</f>
        <v>3743338</v>
      </c>
      <c r="E169" s="175">
        <f t="shared" si="46"/>
        <v>0</v>
      </c>
      <c r="F169" s="175">
        <f t="shared" si="46"/>
        <v>3743338</v>
      </c>
      <c r="G169" s="175">
        <f t="shared" si="46"/>
        <v>0</v>
      </c>
      <c r="H169" s="175">
        <f t="shared" si="46"/>
        <v>10</v>
      </c>
      <c r="I169" s="175">
        <f t="shared" si="46"/>
        <v>10</v>
      </c>
      <c r="J169" s="123"/>
    </row>
    <row r="170" spans="1:10" ht="54" customHeight="1" x14ac:dyDescent="0.25">
      <c r="A170" s="169"/>
      <c r="B170" s="222" t="s">
        <v>276</v>
      </c>
      <c r="C170" s="176"/>
      <c r="D170" s="176">
        <v>3743338</v>
      </c>
      <c r="E170" s="176"/>
      <c r="F170" s="176">
        <f>2805463+55195+882680</f>
        <v>3743338</v>
      </c>
      <c r="G170" s="176"/>
      <c r="H170" s="176">
        <v>10</v>
      </c>
      <c r="I170" s="176">
        <v>10</v>
      </c>
      <c r="J170" s="123" t="s">
        <v>771</v>
      </c>
    </row>
    <row r="171" spans="1:10" ht="15.75" hidden="1" x14ac:dyDescent="0.25">
      <c r="A171" s="169"/>
      <c r="B171" s="222"/>
      <c r="C171" s="176"/>
      <c r="D171" s="176"/>
      <c r="E171" s="176"/>
      <c r="F171" s="176"/>
      <c r="G171" s="176"/>
      <c r="H171" s="176"/>
      <c r="I171" s="176"/>
      <c r="J171" s="123"/>
    </row>
    <row r="172" spans="1:10" ht="76.5" hidden="1" x14ac:dyDescent="0.25">
      <c r="A172" s="169" t="s">
        <v>287</v>
      </c>
      <c r="B172" s="219" t="s">
        <v>288</v>
      </c>
      <c r="C172" s="171">
        <f t="shared" ref="C172:I173" si="47">C173</f>
        <v>0</v>
      </c>
      <c r="D172" s="171">
        <f t="shared" si="47"/>
        <v>0</v>
      </c>
      <c r="E172" s="171">
        <f t="shared" si="47"/>
        <v>0</v>
      </c>
      <c r="F172" s="171">
        <f t="shared" si="47"/>
        <v>0</v>
      </c>
      <c r="G172" s="171">
        <f t="shared" si="47"/>
        <v>0</v>
      </c>
      <c r="H172" s="171">
        <f t="shared" si="47"/>
        <v>0</v>
      </c>
      <c r="I172" s="171">
        <f t="shared" si="47"/>
        <v>0</v>
      </c>
      <c r="J172" s="123"/>
    </row>
    <row r="173" spans="1:10" ht="25.5" hidden="1" x14ac:dyDescent="0.25">
      <c r="A173" s="169" t="s">
        <v>289</v>
      </c>
      <c r="B173" s="219" t="s">
        <v>290</v>
      </c>
      <c r="C173" s="171">
        <f t="shared" si="47"/>
        <v>0</v>
      </c>
      <c r="D173" s="171">
        <f t="shared" si="47"/>
        <v>0</v>
      </c>
      <c r="E173" s="171">
        <f t="shared" si="47"/>
        <v>0</v>
      </c>
      <c r="F173" s="171">
        <f t="shared" si="47"/>
        <v>0</v>
      </c>
      <c r="G173" s="171">
        <f t="shared" si="47"/>
        <v>0</v>
      </c>
      <c r="H173" s="171">
        <f t="shared" si="47"/>
        <v>0</v>
      </c>
      <c r="I173" s="171">
        <f t="shared" si="47"/>
        <v>0</v>
      </c>
      <c r="J173" s="123"/>
    </row>
    <row r="174" spans="1:10" ht="25.5" hidden="1" x14ac:dyDescent="0.25">
      <c r="A174" s="223"/>
      <c r="B174" s="203" t="s">
        <v>34</v>
      </c>
      <c r="C174" s="175">
        <f t="shared" ref="C174:I174" si="48">C175+C176</f>
        <v>0</v>
      </c>
      <c r="D174" s="175">
        <f t="shared" si="48"/>
        <v>0</v>
      </c>
      <c r="E174" s="175">
        <f t="shared" si="48"/>
        <v>0</v>
      </c>
      <c r="F174" s="175">
        <f t="shared" si="48"/>
        <v>0</v>
      </c>
      <c r="G174" s="175">
        <f t="shared" si="48"/>
        <v>0</v>
      </c>
      <c r="H174" s="175">
        <f t="shared" si="48"/>
        <v>0</v>
      </c>
      <c r="I174" s="175">
        <f t="shared" si="48"/>
        <v>0</v>
      </c>
      <c r="J174" s="123"/>
    </row>
    <row r="175" spans="1:10" ht="15.75" hidden="1" x14ac:dyDescent="0.25">
      <c r="A175" s="169"/>
      <c r="B175" s="222"/>
      <c r="C175" s="176"/>
      <c r="D175" s="176"/>
      <c r="E175" s="176"/>
      <c r="F175" s="176"/>
      <c r="G175" s="176"/>
      <c r="H175" s="176"/>
      <c r="I175" s="176"/>
      <c r="J175" s="123"/>
    </row>
    <row r="176" spans="1:10" ht="15.75" hidden="1" x14ac:dyDescent="0.25">
      <c r="A176" s="169"/>
      <c r="B176" s="174"/>
      <c r="C176" s="176"/>
      <c r="D176" s="176"/>
      <c r="E176" s="176"/>
      <c r="F176" s="176"/>
      <c r="G176" s="176"/>
      <c r="H176" s="176"/>
      <c r="I176" s="176"/>
      <c r="J176" s="222"/>
    </row>
    <row r="177" spans="1:11" ht="41.25" customHeight="1" x14ac:dyDescent="0.25">
      <c r="A177" s="169" t="s">
        <v>25</v>
      </c>
      <c r="B177" s="198" t="s">
        <v>26</v>
      </c>
      <c r="C177" s="171">
        <f>C178</f>
        <v>0</v>
      </c>
      <c r="D177" s="171">
        <f t="shared" ref="D177:I177" si="49">D178</f>
        <v>2423529</v>
      </c>
      <c r="E177" s="171">
        <f t="shared" si="49"/>
        <v>1888002</v>
      </c>
      <c r="F177" s="171">
        <f t="shared" si="49"/>
        <v>2423529</v>
      </c>
      <c r="G177" s="171">
        <f t="shared" si="49"/>
        <v>1268179</v>
      </c>
      <c r="H177" s="171">
        <f t="shared" si="49"/>
        <v>0</v>
      </c>
      <c r="I177" s="171">
        <f t="shared" si="49"/>
        <v>0</v>
      </c>
      <c r="J177" s="123"/>
    </row>
    <row r="178" spans="1:11" ht="52.5" customHeight="1" x14ac:dyDescent="0.25">
      <c r="A178" s="169" t="s">
        <v>27</v>
      </c>
      <c r="B178" s="198" t="s">
        <v>28</v>
      </c>
      <c r="C178" s="171">
        <f t="shared" ref="C178:I178" si="50">C179</f>
        <v>0</v>
      </c>
      <c r="D178" s="171">
        <f t="shared" si="50"/>
        <v>2423529</v>
      </c>
      <c r="E178" s="171">
        <f t="shared" si="50"/>
        <v>1888002</v>
      </c>
      <c r="F178" s="171">
        <f t="shared" si="50"/>
        <v>2423529</v>
      </c>
      <c r="G178" s="171">
        <f t="shared" si="50"/>
        <v>1268179</v>
      </c>
      <c r="H178" s="171">
        <f t="shared" si="50"/>
        <v>0</v>
      </c>
      <c r="I178" s="171">
        <f t="shared" si="50"/>
        <v>0</v>
      </c>
      <c r="J178" s="123"/>
    </row>
    <row r="179" spans="1:11" ht="42" customHeight="1" x14ac:dyDescent="0.25">
      <c r="A179" s="224"/>
      <c r="B179" s="200" t="s">
        <v>29</v>
      </c>
      <c r="C179" s="175">
        <f>SUM(C180:C183)</f>
        <v>0</v>
      </c>
      <c r="D179" s="175">
        <f t="shared" ref="D179:I179" si="51">SUM(D180:D183)</f>
        <v>2423529</v>
      </c>
      <c r="E179" s="175">
        <f t="shared" si="51"/>
        <v>1888002</v>
      </c>
      <c r="F179" s="175">
        <f t="shared" si="51"/>
        <v>2423529</v>
      </c>
      <c r="G179" s="175">
        <f t="shared" si="51"/>
        <v>1268179</v>
      </c>
      <c r="H179" s="175">
        <f t="shared" si="51"/>
        <v>0</v>
      </c>
      <c r="I179" s="175">
        <f t="shared" si="51"/>
        <v>0</v>
      </c>
      <c r="J179" s="123"/>
    </row>
    <row r="180" spans="1:11" ht="15.75" x14ac:dyDescent="0.25">
      <c r="A180" s="225"/>
      <c r="B180" s="226" t="s">
        <v>491</v>
      </c>
      <c r="C180" s="175"/>
      <c r="D180" s="176">
        <v>2423529</v>
      </c>
      <c r="E180" s="176"/>
      <c r="F180" s="176">
        <v>2423529</v>
      </c>
      <c r="G180" s="176"/>
      <c r="H180" s="176"/>
      <c r="I180" s="176"/>
      <c r="J180" s="123" t="s">
        <v>696</v>
      </c>
      <c r="K180" s="227"/>
    </row>
    <row r="181" spans="1:11" ht="25.5" x14ac:dyDescent="0.25">
      <c r="A181" s="225"/>
      <c r="B181" s="226" t="s">
        <v>723</v>
      </c>
      <c r="C181" s="175"/>
      <c r="D181" s="176"/>
      <c r="E181" s="176">
        <v>1888002</v>
      </c>
      <c r="F181" s="176"/>
      <c r="G181" s="176">
        <v>1268179</v>
      </c>
      <c r="H181" s="176"/>
      <c r="I181" s="176"/>
      <c r="J181" s="123" t="s">
        <v>494</v>
      </c>
      <c r="K181" s="227"/>
    </row>
    <row r="182" spans="1:11" ht="15.75" hidden="1" x14ac:dyDescent="0.25">
      <c r="A182" s="225"/>
      <c r="B182" s="226"/>
      <c r="C182" s="175"/>
      <c r="D182" s="176"/>
      <c r="E182" s="176"/>
      <c r="F182" s="176"/>
      <c r="G182" s="176"/>
      <c r="H182" s="176"/>
      <c r="I182" s="176"/>
      <c r="J182" s="123"/>
      <c r="K182" s="227"/>
    </row>
    <row r="183" spans="1:11" ht="15.75" hidden="1" x14ac:dyDescent="0.25">
      <c r="A183" s="225"/>
      <c r="B183" s="226"/>
      <c r="C183" s="175"/>
      <c r="D183" s="176"/>
      <c r="E183" s="176"/>
      <c r="F183" s="176"/>
      <c r="G183" s="176"/>
      <c r="H183" s="176"/>
      <c r="I183" s="176"/>
      <c r="J183" s="123"/>
      <c r="K183" s="227"/>
    </row>
    <row r="184" spans="1:11" ht="69" customHeight="1" x14ac:dyDescent="0.25">
      <c r="A184" s="169" t="s">
        <v>211</v>
      </c>
      <c r="B184" s="198" t="s">
        <v>30</v>
      </c>
      <c r="C184" s="171">
        <f>C188+C195+C203+C185</f>
        <v>0</v>
      </c>
      <c r="D184" s="171">
        <f t="shared" ref="D184:I184" si="52">D188+D195+D203+D185</f>
        <v>14444734</v>
      </c>
      <c r="E184" s="171">
        <f t="shared" si="52"/>
        <v>0</v>
      </c>
      <c r="F184" s="171">
        <f t="shared" si="52"/>
        <v>7625297</v>
      </c>
      <c r="G184" s="171">
        <f t="shared" si="52"/>
        <v>0</v>
      </c>
      <c r="H184" s="171">
        <f t="shared" si="52"/>
        <v>0</v>
      </c>
      <c r="I184" s="171">
        <f t="shared" si="52"/>
        <v>0</v>
      </c>
      <c r="J184" s="123"/>
    </row>
    <row r="185" spans="1:11" ht="51" hidden="1" x14ac:dyDescent="0.25">
      <c r="A185" s="169" t="s">
        <v>313</v>
      </c>
      <c r="B185" s="228" t="s">
        <v>314</v>
      </c>
      <c r="C185" s="171">
        <f>C186</f>
        <v>0</v>
      </c>
      <c r="D185" s="171">
        <f t="shared" ref="D185:I185" si="53">D186</f>
        <v>0</v>
      </c>
      <c r="E185" s="171">
        <f t="shared" si="53"/>
        <v>0</v>
      </c>
      <c r="F185" s="171">
        <f t="shared" si="53"/>
        <v>0</v>
      </c>
      <c r="G185" s="171">
        <f t="shared" si="53"/>
        <v>0</v>
      </c>
      <c r="H185" s="171">
        <f t="shared" si="53"/>
        <v>0</v>
      </c>
      <c r="I185" s="171">
        <f t="shared" si="53"/>
        <v>0</v>
      </c>
      <c r="J185" s="123"/>
    </row>
    <row r="186" spans="1:11" ht="15.75" hidden="1" x14ac:dyDescent="0.25">
      <c r="A186" s="169"/>
      <c r="B186" s="174"/>
      <c r="C186" s="175">
        <f>C187</f>
        <v>0</v>
      </c>
      <c r="D186" s="175">
        <f t="shared" ref="D186:I186" si="54">D187</f>
        <v>0</v>
      </c>
      <c r="E186" s="175">
        <f t="shared" si="54"/>
        <v>0</v>
      </c>
      <c r="F186" s="175">
        <f t="shared" si="54"/>
        <v>0</v>
      </c>
      <c r="G186" s="175">
        <f t="shared" si="54"/>
        <v>0</v>
      </c>
      <c r="H186" s="175">
        <f t="shared" si="54"/>
        <v>0</v>
      </c>
      <c r="I186" s="175">
        <f t="shared" si="54"/>
        <v>0</v>
      </c>
      <c r="J186" s="123"/>
    </row>
    <row r="187" spans="1:11" ht="28.5" hidden="1" customHeight="1" x14ac:dyDescent="0.25">
      <c r="A187" s="169"/>
      <c r="B187" s="198"/>
      <c r="C187" s="171"/>
      <c r="D187" s="171"/>
      <c r="E187" s="171"/>
      <c r="F187" s="171"/>
      <c r="G187" s="171"/>
      <c r="H187" s="171"/>
      <c r="I187" s="171"/>
      <c r="J187" s="173"/>
    </row>
    <row r="188" spans="1:11" ht="63.75" hidden="1" x14ac:dyDescent="0.25">
      <c r="A188" s="169" t="s">
        <v>79</v>
      </c>
      <c r="B188" s="228" t="s">
        <v>80</v>
      </c>
      <c r="C188" s="171">
        <f>C189+C191+C193</f>
        <v>0</v>
      </c>
      <c r="D188" s="171">
        <f t="shared" ref="D188:I188" si="55">D189+D191+D193</f>
        <v>0</v>
      </c>
      <c r="E188" s="171">
        <f t="shared" si="55"/>
        <v>0</v>
      </c>
      <c r="F188" s="171">
        <f t="shared" ref="F188:G188" si="56">F189+F191+F193</f>
        <v>0</v>
      </c>
      <c r="G188" s="171">
        <f t="shared" si="56"/>
        <v>0</v>
      </c>
      <c r="H188" s="171">
        <f t="shared" si="55"/>
        <v>0</v>
      </c>
      <c r="I188" s="171">
        <f t="shared" si="55"/>
        <v>0</v>
      </c>
      <c r="J188" s="123"/>
    </row>
    <row r="189" spans="1:11" ht="38.25" hidden="1" x14ac:dyDescent="0.25">
      <c r="A189" s="169"/>
      <c r="B189" s="174" t="s">
        <v>46</v>
      </c>
      <c r="C189" s="175">
        <f>C190</f>
        <v>0</v>
      </c>
      <c r="D189" s="175">
        <f t="shared" ref="D189:I189" si="57">D190</f>
        <v>0</v>
      </c>
      <c r="E189" s="175">
        <f t="shared" si="57"/>
        <v>0</v>
      </c>
      <c r="F189" s="175">
        <f t="shared" si="57"/>
        <v>0</v>
      </c>
      <c r="G189" s="175">
        <f t="shared" si="57"/>
        <v>0</v>
      </c>
      <c r="H189" s="175">
        <f t="shared" si="57"/>
        <v>0</v>
      </c>
      <c r="I189" s="175">
        <f t="shared" si="57"/>
        <v>0</v>
      </c>
      <c r="J189" s="123"/>
    </row>
    <row r="190" spans="1:11" ht="15.75" hidden="1" x14ac:dyDescent="0.25">
      <c r="A190" s="169"/>
      <c r="B190" s="174"/>
      <c r="C190" s="175"/>
      <c r="D190" s="175"/>
      <c r="E190" s="175"/>
      <c r="F190" s="175"/>
      <c r="G190" s="175"/>
      <c r="H190" s="175"/>
      <c r="I190" s="175"/>
      <c r="J190" s="274"/>
      <c r="K190" s="182"/>
    </row>
    <row r="191" spans="1:11" ht="25.5" hidden="1" x14ac:dyDescent="0.25">
      <c r="A191" s="169"/>
      <c r="B191" s="200" t="s">
        <v>81</v>
      </c>
      <c r="C191" s="175">
        <f>C192</f>
        <v>0</v>
      </c>
      <c r="D191" s="175">
        <f t="shared" ref="D191:I191" si="58">D192</f>
        <v>0</v>
      </c>
      <c r="E191" s="175">
        <f t="shared" si="58"/>
        <v>0</v>
      </c>
      <c r="F191" s="175">
        <f t="shared" si="58"/>
        <v>0</v>
      </c>
      <c r="G191" s="175">
        <f t="shared" si="58"/>
        <v>0</v>
      </c>
      <c r="H191" s="175">
        <f t="shared" si="58"/>
        <v>0</v>
      </c>
      <c r="I191" s="175">
        <f t="shared" si="58"/>
        <v>0</v>
      </c>
      <c r="J191" s="123"/>
    </row>
    <row r="192" spans="1:11" ht="15.75" hidden="1" x14ac:dyDescent="0.25">
      <c r="A192" s="169"/>
      <c r="B192" s="123"/>
      <c r="C192" s="176"/>
      <c r="D192" s="176"/>
      <c r="E192" s="176"/>
      <c r="F192" s="176"/>
      <c r="G192" s="176"/>
      <c r="H192" s="176"/>
      <c r="I192" s="176"/>
      <c r="J192" s="123"/>
    </row>
    <row r="193" spans="1:10" ht="25.5" hidden="1" x14ac:dyDescent="0.25">
      <c r="A193" s="169"/>
      <c r="B193" s="229" t="s">
        <v>31</v>
      </c>
      <c r="C193" s="175">
        <f>C194</f>
        <v>0</v>
      </c>
      <c r="D193" s="175">
        <f t="shared" ref="D193:I193" si="59">D194</f>
        <v>0</v>
      </c>
      <c r="E193" s="175">
        <f t="shared" si="59"/>
        <v>0</v>
      </c>
      <c r="F193" s="175">
        <f t="shared" si="59"/>
        <v>0</v>
      </c>
      <c r="G193" s="175">
        <f t="shared" si="59"/>
        <v>0</v>
      </c>
      <c r="H193" s="175">
        <f t="shared" si="59"/>
        <v>0</v>
      </c>
      <c r="I193" s="175">
        <f t="shared" si="59"/>
        <v>0</v>
      </c>
      <c r="J193" s="123"/>
    </row>
    <row r="194" spans="1:10" ht="15.75" hidden="1" x14ac:dyDescent="0.25">
      <c r="A194" s="169"/>
      <c r="B194" s="123"/>
      <c r="C194" s="176"/>
      <c r="D194" s="176"/>
      <c r="E194" s="176"/>
      <c r="F194" s="176"/>
      <c r="G194" s="176"/>
      <c r="H194" s="176"/>
      <c r="I194" s="176"/>
      <c r="J194" s="123"/>
    </row>
    <row r="195" spans="1:10" ht="79.5" customHeight="1" x14ac:dyDescent="0.25">
      <c r="A195" s="169" t="s">
        <v>182</v>
      </c>
      <c r="B195" s="228" t="s">
        <v>108</v>
      </c>
      <c r="C195" s="171">
        <f t="shared" ref="C195:I195" si="60">C196</f>
        <v>0</v>
      </c>
      <c r="D195" s="171">
        <f t="shared" si="60"/>
        <v>14444734</v>
      </c>
      <c r="E195" s="171">
        <f t="shared" si="60"/>
        <v>0</v>
      </c>
      <c r="F195" s="171">
        <f t="shared" si="60"/>
        <v>7625297</v>
      </c>
      <c r="G195" s="171">
        <f t="shared" si="60"/>
        <v>0</v>
      </c>
      <c r="H195" s="171">
        <f t="shared" si="60"/>
        <v>0</v>
      </c>
      <c r="I195" s="171">
        <f t="shared" si="60"/>
        <v>0</v>
      </c>
      <c r="J195" s="123"/>
    </row>
    <row r="196" spans="1:10" ht="25.5" x14ac:dyDescent="0.25">
      <c r="A196" s="169"/>
      <c r="B196" s="229" t="s">
        <v>31</v>
      </c>
      <c r="C196" s="175">
        <f>SUM(C197:C200)</f>
        <v>0</v>
      </c>
      <c r="D196" s="175">
        <f t="shared" ref="D196:I196" si="61">SUM(D197:D200)</f>
        <v>14444734</v>
      </c>
      <c r="E196" s="175">
        <f t="shared" si="61"/>
        <v>0</v>
      </c>
      <c r="F196" s="175">
        <f t="shared" si="61"/>
        <v>7625297</v>
      </c>
      <c r="G196" s="175">
        <f t="shared" si="61"/>
        <v>0</v>
      </c>
      <c r="H196" s="175">
        <f t="shared" si="61"/>
        <v>0</v>
      </c>
      <c r="I196" s="175">
        <f t="shared" si="61"/>
        <v>0</v>
      </c>
      <c r="J196" s="123"/>
    </row>
    <row r="197" spans="1:10" ht="52.5" customHeight="1" x14ac:dyDescent="0.25">
      <c r="A197" s="169"/>
      <c r="B197" s="123" t="s">
        <v>315</v>
      </c>
      <c r="C197" s="230"/>
      <c r="D197" s="211">
        <v>1139934</v>
      </c>
      <c r="E197" s="180"/>
      <c r="F197" s="211">
        <f>655600+426697</f>
        <v>1082297</v>
      </c>
      <c r="G197" s="180"/>
      <c r="H197" s="180"/>
      <c r="I197" s="180"/>
      <c r="J197" s="156" t="s">
        <v>697</v>
      </c>
    </row>
    <row r="198" spans="1:10" ht="89.25" hidden="1" x14ac:dyDescent="0.25">
      <c r="A198" s="169"/>
      <c r="B198" s="123" t="s">
        <v>316</v>
      </c>
      <c r="C198" s="176"/>
      <c r="D198" s="176">
        <v>336800</v>
      </c>
      <c r="E198" s="176"/>
      <c r="F198" s="176"/>
      <c r="G198" s="176"/>
      <c r="H198" s="176"/>
      <c r="I198" s="176"/>
      <c r="J198" s="123" t="s">
        <v>317</v>
      </c>
    </row>
    <row r="199" spans="1:10" ht="42.75" customHeight="1" x14ac:dyDescent="0.25">
      <c r="A199" s="169"/>
      <c r="B199" s="123" t="s">
        <v>241</v>
      </c>
      <c r="C199" s="176"/>
      <c r="D199" s="176">
        <v>166000</v>
      </c>
      <c r="E199" s="176"/>
      <c r="F199" s="176">
        <v>166000</v>
      </c>
      <c r="G199" s="176"/>
      <c r="H199" s="176"/>
      <c r="I199" s="176"/>
      <c r="J199" s="123" t="s">
        <v>772</v>
      </c>
    </row>
    <row r="200" spans="1:10" ht="54" customHeight="1" x14ac:dyDescent="0.25">
      <c r="A200" s="169"/>
      <c r="B200" s="123" t="s">
        <v>320</v>
      </c>
      <c r="C200" s="176"/>
      <c r="D200" s="176">
        <v>12802000</v>
      </c>
      <c r="E200" s="176"/>
      <c r="F200" s="176">
        <f>5000000+1377000</f>
        <v>6377000</v>
      </c>
      <c r="G200" s="176"/>
      <c r="H200" s="176"/>
      <c r="I200" s="176"/>
      <c r="J200" s="123" t="s">
        <v>698</v>
      </c>
    </row>
    <row r="201" spans="1:10" ht="24.75" hidden="1" customHeight="1" x14ac:dyDescent="0.25">
      <c r="A201" s="169"/>
      <c r="B201" s="123"/>
      <c r="C201" s="176"/>
      <c r="D201" s="176"/>
      <c r="E201" s="176"/>
      <c r="F201" s="176"/>
      <c r="G201" s="176"/>
      <c r="H201" s="176"/>
      <c r="I201" s="176"/>
      <c r="J201" s="123"/>
    </row>
    <row r="202" spans="1:10" ht="15.75" hidden="1" x14ac:dyDescent="0.25">
      <c r="A202" s="169"/>
      <c r="B202" s="123"/>
      <c r="C202" s="176"/>
      <c r="D202" s="176"/>
      <c r="E202" s="176"/>
      <c r="F202" s="176"/>
      <c r="G202" s="176"/>
      <c r="H202" s="176"/>
      <c r="I202" s="176"/>
      <c r="J202" s="123"/>
    </row>
    <row r="203" spans="1:10" ht="38.25" hidden="1" x14ac:dyDescent="0.25">
      <c r="A203" s="169" t="s">
        <v>132</v>
      </c>
      <c r="B203" s="228" t="s">
        <v>133</v>
      </c>
      <c r="C203" s="171">
        <f>C204+C211+C208+C206</f>
        <v>0</v>
      </c>
      <c r="D203" s="171">
        <f t="shared" ref="D203:I203" si="62">D204+D211+D208+D206</f>
        <v>0</v>
      </c>
      <c r="E203" s="171">
        <f t="shared" si="62"/>
        <v>0</v>
      </c>
      <c r="F203" s="171">
        <f t="shared" ref="F203:G203" si="63">F204+F211+F208+F206</f>
        <v>0</v>
      </c>
      <c r="G203" s="171">
        <f t="shared" si="63"/>
        <v>0</v>
      </c>
      <c r="H203" s="171">
        <f t="shared" si="62"/>
        <v>0</v>
      </c>
      <c r="I203" s="171">
        <f t="shared" si="62"/>
        <v>0</v>
      </c>
      <c r="J203" s="123"/>
    </row>
    <row r="204" spans="1:10" ht="15.75" hidden="1" x14ac:dyDescent="0.25">
      <c r="A204" s="169"/>
      <c r="B204" s="229" t="s">
        <v>36</v>
      </c>
      <c r="C204" s="175">
        <f>C205</f>
        <v>0</v>
      </c>
      <c r="D204" s="175">
        <f t="shared" ref="D204:I204" si="64">D205</f>
        <v>0</v>
      </c>
      <c r="E204" s="175">
        <f t="shared" si="64"/>
        <v>0</v>
      </c>
      <c r="F204" s="175">
        <f t="shared" si="64"/>
        <v>0</v>
      </c>
      <c r="G204" s="175">
        <f t="shared" si="64"/>
        <v>0</v>
      </c>
      <c r="H204" s="175">
        <f t="shared" si="64"/>
        <v>0</v>
      </c>
      <c r="I204" s="175">
        <f t="shared" si="64"/>
        <v>0</v>
      </c>
      <c r="J204" s="123"/>
    </row>
    <row r="205" spans="1:10" ht="15.75" hidden="1" x14ac:dyDescent="0.25">
      <c r="A205" s="169"/>
      <c r="B205" s="123"/>
      <c r="C205" s="176"/>
      <c r="D205" s="176"/>
      <c r="E205" s="176"/>
      <c r="F205" s="176"/>
      <c r="G205" s="176"/>
      <c r="H205" s="176"/>
      <c r="I205" s="176"/>
      <c r="J205" s="123"/>
    </row>
    <row r="206" spans="1:10" ht="63.75" hidden="1" x14ac:dyDescent="0.25">
      <c r="A206" s="169"/>
      <c r="B206" s="200" t="s">
        <v>145</v>
      </c>
      <c r="C206" s="176">
        <f>C207</f>
        <v>0</v>
      </c>
      <c r="D206" s="176">
        <f t="shared" ref="D206:I206" si="65">D207</f>
        <v>0</v>
      </c>
      <c r="E206" s="176">
        <f t="shared" si="65"/>
        <v>0</v>
      </c>
      <c r="F206" s="176">
        <f t="shared" si="65"/>
        <v>0</v>
      </c>
      <c r="G206" s="176">
        <f t="shared" si="65"/>
        <v>0</v>
      </c>
      <c r="H206" s="176">
        <f t="shared" si="65"/>
        <v>0</v>
      </c>
      <c r="I206" s="176">
        <f t="shared" si="65"/>
        <v>0</v>
      </c>
      <c r="J206" s="123"/>
    </row>
    <row r="207" spans="1:10" ht="15.75" hidden="1" x14ac:dyDescent="0.25">
      <c r="A207" s="169"/>
      <c r="B207" s="123"/>
      <c r="C207" s="176"/>
      <c r="D207" s="176"/>
      <c r="E207" s="176"/>
      <c r="F207" s="176"/>
      <c r="G207" s="176"/>
      <c r="H207" s="176"/>
      <c r="I207" s="176"/>
      <c r="J207" s="212"/>
    </row>
    <row r="208" spans="1:10" ht="25.5" hidden="1" x14ac:dyDescent="0.25">
      <c r="A208" s="169"/>
      <c r="B208" s="200" t="s">
        <v>81</v>
      </c>
      <c r="C208" s="175">
        <f>C209</f>
        <v>0</v>
      </c>
      <c r="D208" s="175">
        <f t="shared" ref="D208:I208" si="66">D209</f>
        <v>0</v>
      </c>
      <c r="E208" s="175">
        <f t="shared" si="66"/>
        <v>0</v>
      </c>
      <c r="F208" s="175">
        <f t="shared" si="66"/>
        <v>0</v>
      </c>
      <c r="G208" s="175">
        <f t="shared" si="66"/>
        <v>0</v>
      </c>
      <c r="H208" s="175">
        <f t="shared" si="66"/>
        <v>0</v>
      </c>
      <c r="I208" s="175">
        <f t="shared" si="66"/>
        <v>0</v>
      </c>
      <c r="J208" s="123"/>
    </row>
    <row r="209" spans="1:10" ht="15.75" hidden="1" x14ac:dyDescent="0.25">
      <c r="A209" s="169"/>
      <c r="B209" s="123"/>
      <c r="C209" s="176"/>
      <c r="D209" s="176"/>
      <c r="E209" s="176"/>
      <c r="F209" s="176"/>
      <c r="G209" s="176"/>
      <c r="H209" s="176"/>
      <c r="I209" s="176"/>
      <c r="J209" s="123"/>
    </row>
    <row r="210" spans="1:10" ht="15.75" hidden="1" x14ac:dyDescent="0.25">
      <c r="A210" s="169"/>
      <c r="B210" s="123"/>
      <c r="C210" s="176"/>
      <c r="D210" s="176"/>
      <c r="E210" s="176"/>
      <c r="F210" s="176"/>
      <c r="G210" s="176"/>
      <c r="H210" s="176"/>
      <c r="I210" s="176"/>
      <c r="J210" s="123"/>
    </row>
    <row r="211" spans="1:10" ht="25.5" hidden="1" x14ac:dyDescent="0.25">
      <c r="A211" s="169"/>
      <c r="B211" s="229" t="s">
        <v>31</v>
      </c>
      <c r="C211" s="175">
        <f>C212+C213+C214+C215+C216</f>
        <v>0</v>
      </c>
      <c r="D211" s="175">
        <f t="shared" ref="D211:I211" si="67">D212+D213+D214+D215+D216</f>
        <v>0</v>
      </c>
      <c r="E211" s="175">
        <f t="shared" si="67"/>
        <v>0</v>
      </c>
      <c r="F211" s="175">
        <f t="shared" ref="F211:G211" si="68">F212+F213+F214+F215+F216</f>
        <v>0</v>
      </c>
      <c r="G211" s="175">
        <f t="shared" si="68"/>
        <v>0</v>
      </c>
      <c r="H211" s="175">
        <f t="shared" si="67"/>
        <v>0</v>
      </c>
      <c r="I211" s="175">
        <f t="shared" si="67"/>
        <v>0</v>
      </c>
      <c r="J211" s="123"/>
    </row>
    <row r="212" spans="1:10" ht="15.75" hidden="1" x14ac:dyDescent="0.25">
      <c r="A212" s="169"/>
      <c r="B212" s="123"/>
      <c r="C212" s="230"/>
      <c r="D212" s="176"/>
      <c r="E212" s="176"/>
      <c r="F212" s="176"/>
      <c r="G212" s="176"/>
      <c r="H212" s="176"/>
      <c r="I212" s="176"/>
      <c r="J212" s="123"/>
    </row>
    <row r="213" spans="1:10" ht="15.75" hidden="1" x14ac:dyDescent="0.25">
      <c r="A213" s="169"/>
      <c r="B213" s="123"/>
      <c r="C213" s="176"/>
      <c r="D213" s="176"/>
      <c r="E213" s="176"/>
      <c r="F213" s="176"/>
      <c r="G213" s="176"/>
      <c r="H213" s="176"/>
      <c r="I213" s="176"/>
      <c r="J213" s="123"/>
    </row>
    <row r="214" spans="1:10" ht="15.75" hidden="1" x14ac:dyDescent="0.25">
      <c r="A214" s="169"/>
      <c r="B214" s="123"/>
      <c r="C214" s="176"/>
      <c r="D214" s="176"/>
      <c r="E214" s="176"/>
      <c r="F214" s="176"/>
      <c r="G214" s="176"/>
      <c r="H214" s="176"/>
      <c r="I214" s="176"/>
      <c r="J214" s="123"/>
    </row>
    <row r="215" spans="1:10" ht="15.75" hidden="1" x14ac:dyDescent="0.25">
      <c r="A215" s="169"/>
      <c r="B215" s="123"/>
      <c r="C215" s="176"/>
      <c r="D215" s="176"/>
      <c r="E215" s="176"/>
      <c r="F215" s="176"/>
      <c r="G215" s="176"/>
      <c r="H215" s="176"/>
      <c r="I215" s="176"/>
      <c r="J215" s="123"/>
    </row>
    <row r="216" spans="1:10" ht="15.75" hidden="1" x14ac:dyDescent="0.25">
      <c r="A216" s="169"/>
      <c r="B216" s="229"/>
      <c r="C216" s="175"/>
      <c r="D216" s="175"/>
      <c r="E216" s="175"/>
      <c r="F216" s="175"/>
      <c r="G216" s="175"/>
      <c r="H216" s="175"/>
      <c r="I216" s="175"/>
      <c r="J216" s="123"/>
    </row>
    <row r="217" spans="1:10" ht="93" customHeight="1" x14ac:dyDescent="0.25">
      <c r="A217" s="169" t="s">
        <v>183</v>
      </c>
      <c r="B217" s="198" t="s">
        <v>32</v>
      </c>
      <c r="C217" s="171">
        <f t="shared" ref="C217:I217" si="69">C218+C221+C227</f>
        <v>0</v>
      </c>
      <c r="D217" s="171">
        <f t="shared" si="69"/>
        <v>95722909</v>
      </c>
      <c r="E217" s="171">
        <f t="shared" si="69"/>
        <v>0</v>
      </c>
      <c r="F217" s="171">
        <f t="shared" ref="F217:G217" si="70">F218+F221+F227</f>
        <v>59196134</v>
      </c>
      <c r="G217" s="171">
        <f t="shared" si="70"/>
        <v>0</v>
      </c>
      <c r="H217" s="171">
        <f t="shared" si="69"/>
        <v>0</v>
      </c>
      <c r="I217" s="171">
        <f t="shared" si="69"/>
        <v>0</v>
      </c>
      <c r="J217" s="123"/>
    </row>
    <row r="218" spans="1:10" ht="104.25" customHeight="1" x14ac:dyDescent="0.25">
      <c r="A218" s="169" t="s">
        <v>109</v>
      </c>
      <c r="B218" s="228" t="s">
        <v>739</v>
      </c>
      <c r="C218" s="171">
        <f t="shared" ref="C218:I219" si="71">C219</f>
        <v>0</v>
      </c>
      <c r="D218" s="171">
        <f t="shared" si="71"/>
        <v>39600000</v>
      </c>
      <c r="E218" s="171">
        <f t="shared" si="71"/>
        <v>0</v>
      </c>
      <c r="F218" s="171">
        <f t="shared" si="71"/>
        <v>39600000</v>
      </c>
      <c r="G218" s="171">
        <f t="shared" si="71"/>
        <v>0</v>
      </c>
      <c r="H218" s="171">
        <f t="shared" si="71"/>
        <v>0</v>
      </c>
      <c r="I218" s="171">
        <f t="shared" si="71"/>
        <v>0</v>
      </c>
      <c r="J218" s="123"/>
    </row>
    <row r="219" spans="1:10" ht="29.25" customHeight="1" x14ac:dyDescent="0.25">
      <c r="A219" s="169"/>
      <c r="B219" s="200" t="s">
        <v>35</v>
      </c>
      <c r="C219" s="175">
        <f t="shared" si="71"/>
        <v>0</v>
      </c>
      <c r="D219" s="175">
        <f>D220</f>
        <v>39600000</v>
      </c>
      <c r="E219" s="175">
        <f t="shared" si="71"/>
        <v>0</v>
      </c>
      <c r="F219" s="175">
        <f>F220</f>
        <v>39600000</v>
      </c>
      <c r="G219" s="175">
        <f t="shared" si="71"/>
        <v>0</v>
      </c>
      <c r="H219" s="175">
        <f t="shared" si="71"/>
        <v>0</v>
      </c>
      <c r="I219" s="175">
        <f t="shared" si="71"/>
        <v>0</v>
      </c>
      <c r="J219" s="123"/>
    </row>
    <row r="220" spans="1:10" ht="42" customHeight="1" x14ac:dyDescent="0.25">
      <c r="A220" s="169"/>
      <c r="B220" s="200"/>
      <c r="C220" s="176"/>
      <c r="D220" s="176">
        <v>39600000</v>
      </c>
      <c r="E220" s="176"/>
      <c r="F220" s="176">
        <v>39600000</v>
      </c>
      <c r="G220" s="176"/>
      <c r="H220" s="176"/>
      <c r="I220" s="176"/>
      <c r="J220" s="123" t="s">
        <v>773</v>
      </c>
    </row>
    <row r="221" spans="1:10" ht="67.5" customHeight="1" x14ac:dyDescent="0.25">
      <c r="A221" s="169" t="s">
        <v>33</v>
      </c>
      <c r="B221" s="198" t="s">
        <v>134</v>
      </c>
      <c r="C221" s="171">
        <f t="shared" ref="C221:I221" si="72">C222</f>
        <v>0</v>
      </c>
      <c r="D221" s="171">
        <f t="shared" si="72"/>
        <v>56122909</v>
      </c>
      <c r="E221" s="171">
        <f t="shared" si="72"/>
        <v>0</v>
      </c>
      <c r="F221" s="171">
        <f t="shared" si="72"/>
        <v>19596134</v>
      </c>
      <c r="G221" s="171">
        <f t="shared" si="72"/>
        <v>0</v>
      </c>
      <c r="H221" s="171">
        <f t="shared" si="72"/>
        <v>0</v>
      </c>
      <c r="I221" s="171">
        <f t="shared" si="72"/>
        <v>0</v>
      </c>
      <c r="J221" s="123"/>
    </row>
    <row r="222" spans="1:10" ht="27.75" customHeight="1" x14ac:dyDescent="0.25">
      <c r="A222" s="169"/>
      <c r="B222" s="229" t="s">
        <v>31</v>
      </c>
      <c r="C222" s="175">
        <f>SUM(C223:C226)</f>
        <v>0</v>
      </c>
      <c r="D222" s="175">
        <f t="shared" ref="D222:I222" si="73">SUM(D223:D226)</f>
        <v>56122909</v>
      </c>
      <c r="E222" s="175">
        <f t="shared" si="73"/>
        <v>0</v>
      </c>
      <c r="F222" s="175">
        <f t="shared" si="73"/>
        <v>19596134</v>
      </c>
      <c r="G222" s="175">
        <f t="shared" si="73"/>
        <v>0</v>
      </c>
      <c r="H222" s="175">
        <f t="shared" si="73"/>
        <v>0</v>
      </c>
      <c r="I222" s="175">
        <f t="shared" si="73"/>
        <v>0</v>
      </c>
      <c r="J222" s="231"/>
    </row>
    <row r="223" spans="1:10" ht="54.75" customHeight="1" x14ac:dyDescent="0.25">
      <c r="A223" s="169"/>
      <c r="B223" s="123" t="s">
        <v>724</v>
      </c>
      <c r="C223" s="230"/>
      <c r="D223" s="176">
        <f>505379+4735309+486090</f>
        <v>5726778</v>
      </c>
      <c r="E223" s="176"/>
      <c r="F223" s="176">
        <v>3459400</v>
      </c>
      <c r="G223" s="176"/>
      <c r="H223" s="176"/>
      <c r="I223" s="176"/>
      <c r="J223" s="123" t="s">
        <v>676</v>
      </c>
    </row>
    <row r="224" spans="1:10" ht="51" customHeight="1" x14ac:dyDescent="0.25">
      <c r="A224" s="169"/>
      <c r="B224" s="226" t="s">
        <v>724</v>
      </c>
      <c r="C224" s="176"/>
      <c r="D224" s="176">
        <f>39362469+12242267-5726778</f>
        <v>45877958</v>
      </c>
      <c r="E224" s="176"/>
      <c r="F224" s="176">
        <v>14500000</v>
      </c>
      <c r="G224" s="176"/>
      <c r="H224" s="176"/>
      <c r="I224" s="176"/>
      <c r="J224" s="232" t="s">
        <v>699</v>
      </c>
    </row>
    <row r="225" spans="1:10" ht="53.25" customHeight="1" x14ac:dyDescent="0.25">
      <c r="A225" s="169"/>
      <c r="B225" s="226" t="s">
        <v>324</v>
      </c>
      <c r="C225" s="176"/>
      <c r="D225" s="176">
        <v>3171439</v>
      </c>
      <c r="E225" s="176"/>
      <c r="F225" s="176">
        <v>1000000</v>
      </c>
      <c r="G225" s="176"/>
      <c r="H225" s="176"/>
      <c r="I225" s="176"/>
      <c r="J225" s="123" t="s">
        <v>653</v>
      </c>
    </row>
    <row r="226" spans="1:10" ht="51.75" customHeight="1" x14ac:dyDescent="0.25">
      <c r="A226" s="169"/>
      <c r="B226" s="226" t="s">
        <v>325</v>
      </c>
      <c r="C226" s="176"/>
      <c r="D226" s="176">
        <f>625335+721399</f>
        <v>1346734</v>
      </c>
      <c r="E226" s="176"/>
      <c r="F226" s="176">
        <f>636734</f>
        <v>636734</v>
      </c>
      <c r="G226" s="176"/>
      <c r="H226" s="176"/>
      <c r="I226" s="176"/>
      <c r="J226" s="123" t="s">
        <v>654</v>
      </c>
    </row>
    <row r="227" spans="1:10" ht="51" hidden="1" x14ac:dyDescent="0.25">
      <c r="A227" s="169" t="s">
        <v>167</v>
      </c>
      <c r="B227" s="198" t="s">
        <v>168</v>
      </c>
      <c r="C227" s="171">
        <f>C228</f>
        <v>0</v>
      </c>
      <c r="D227" s="171">
        <f t="shared" ref="D227:I228" si="74">D228</f>
        <v>0</v>
      </c>
      <c r="E227" s="171">
        <f t="shared" si="74"/>
        <v>0</v>
      </c>
      <c r="F227" s="171">
        <f t="shared" si="74"/>
        <v>0</v>
      </c>
      <c r="G227" s="171">
        <f t="shared" si="74"/>
        <v>0</v>
      </c>
      <c r="H227" s="171">
        <f t="shared" si="74"/>
        <v>0</v>
      </c>
      <c r="I227" s="171">
        <f t="shared" si="74"/>
        <v>0</v>
      </c>
      <c r="J227" s="123"/>
    </row>
    <row r="228" spans="1:10" ht="25.5" hidden="1" x14ac:dyDescent="0.25">
      <c r="A228" s="169"/>
      <c r="B228" s="200" t="s">
        <v>31</v>
      </c>
      <c r="C228" s="175">
        <f>C229</f>
        <v>0</v>
      </c>
      <c r="D228" s="175">
        <f t="shared" si="74"/>
        <v>0</v>
      </c>
      <c r="E228" s="175">
        <f t="shared" si="74"/>
        <v>0</v>
      </c>
      <c r="F228" s="175">
        <f t="shared" si="74"/>
        <v>0</v>
      </c>
      <c r="G228" s="175">
        <f t="shared" si="74"/>
        <v>0</v>
      </c>
      <c r="H228" s="175">
        <f t="shared" si="74"/>
        <v>0</v>
      </c>
      <c r="I228" s="175">
        <f t="shared" si="74"/>
        <v>0</v>
      </c>
      <c r="J228" s="123"/>
    </row>
    <row r="229" spans="1:10" ht="15.75" hidden="1" x14ac:dyDescent="0.25">
      <c r="A229" s="169"/>
      <c r="B229" s="226"/>
      <c r="C229" s="176"/>
      <c r="D229" s="176"/>
      <c r="E229" s="176"/>
      <c r="F229" s="176"/>
      <c r="G229" s="176"/>
      <c r="H229" s="176"/>
      <c r="I229" s="176"/>
      <c r="J229" s="123"/>
    </row>
    <row r="230" spans="1:10" ht="42" customHeight="1" x14ac:dyDescent="0.25">
      <c r="A230" s="169" t="s">
        <v>184</v>
      </c>
      <c r="B230" s="214" t="s">
        <v>13</v>
      </c>
      <c r="C230" s="233">
        <f>C231+C257+C263+C266</f>
        <v>2500000</v>
      </c>
      <c r="D230" s="233">
        <f t="shared" ref="D230:I230" si="75">D231+D257+D263+D266</f>
        <v>179002047</v>
      </c>
      <c r="E230" s="233">
        <f t="shared" si="75"/>
        <v>0</v>
      </c>
      <c r="F230" s="233">
        <f t="shared" si="75"/>
        <v>106940437</v>
      </c>
      <c r="G230" s="233">
        <f t="shared" si="75"/>
        <v>0</v>
      </c>
      <c r="H230" s="233">
        <f t="shared" si="75"/>
        <v>311716</v>
      </c>
      <c r="I230" s="233">
        <f t="shared" si="75"/>
        <v>511716</v>
      </c>
      <c r="J230" s="226"/>
    </row>
    <row r="231" spans="1:10" ht="42" customHeight="1" x14ac:dyDescent="0.25">
      <c r="A231" s="169" t="s">
        <v>185</v>
      </c>
      <c r="B231" s="198" t="s">
        <v>61</v>
      </c>
      <c r="C231" s="171">
        <f t="shared" ref="C231:I231" si="76">C232</f>
        <v>2500000</v>
      </c>
      <c r="D231" s="171">
        <f t="shared" si="76"/>
        <v>173025680</v>
      </c>
      <c r="E231" s="171">
        <f t="shared" si="76"/>
        <v>0</v>
      </c>
      <c r="F231" s="171">
        <f t="shared" si="76"/>
        <v>105940437</v>
      </c>
      <c r="G231" s="171">
        <f t="shared" si="76"/>
        <v>0</v>
      </c>
      <c r="H231" s="171">
        <f t="shared" si="76"/>
        <v>311716</v>
      </c>
      <c r="I231" s="171">
        <f t="shared" si="76"/>
        <v>311716</v>
      </c>
      <c r="J231" s="199"/>
    </row>
    <row r="232" spans="1:10" ht="15.75" x14ac:dyDescent="0.25">
      <c r="A232" s="169"/>
      <c r="B232" s="174" t="s">
        <v>3</v>
      </c>
      <c r="C232" s="175">
        <f>SUM(C233:C253)</f>
        <v>2500000</v>
      </c>
      <c r="D232" s="175">
        <f t="shared" ref="D232:I232" si="77">SUM(D233:D253)</f>
        <v>173025680</v>
      </c>
      <c r="E232" s="175">
        <f t="shared" si="77"/>
        <v>0</v>
      </c>
      <c r="F232" s="175">
        <f t="shared" si="77"/>
        <v>105940437</v>
      </c>
      <c r="G232" s="175">
        <f t="shared" si="77"/>
        <v>0</v>
      </c>
      <c r="H232" s="175">
        <f t="shared" si="77"/>
        <v>311716</v>
      </c>
      <c r="I232" s="175">
        <f t="shared" si="77"/>
        <v>311716</v>
      </c>
      <c r="J232" s="199"/>
    </row>
    <row r="233" spans="1:10" ht="54" customHeight="1" x14ac:dyDescent="0.25">
      <c r="A233" s="169"/>
      <c r="B233" s="216" t="s">
        <v>497</v>
      </c>
      <c r="C233" s="159">
        <v>2500000</v>
      </c>
      <c r="D233" s="234"/>
      <c r="E233" s="159"/>
      <c r="F233" s="159"/>
      <c r="G233" s="159"/>
      <c r="H233" s="159"/>
      <c r="I233" s="159"/>
      <c r="J233" s="123" t="s">
        <v>700</v>
      </c>
    </row>
    <row r="234" spans="1:10" ht="42" customHeight="1" x14ac:dyDescent="0.25">
      <c r="A234" s="169"/>
      <c r="B234" s="216" t="s">
        <v>725</v>
      </c>
      <c r="C234" s="159"/>
      <c r="D234" s="234">
        <v>37215915</v>
      </c>
      <c r="E234" s="159"/>
      <c r="F234" s="159">
        <f>40936480+4156640</f>
        <v>45093120</v>
      </c>
      <c r="G234" s="159"/>
      <c r="H234" s="159"/>
      <c r="I234" s="159"/>
      <c r="J234" s="123" t="s">
        <v>755</v>
      </c>
    </row>
    <row r="235" spans="1:10" ht="15.75" hidden="1" x14ac:dyDescent="0.25">
      <c r="A235" s="169"/>
      <c r="B235" s="216"/>
      <c r="C235" s="159"/>
      <c r="D235" s="234">
        <v>4156640</v>
      </c>
      <c r="E235" s="159"/>
      <c r="F235" s="159"/>
      <c r="G235" s="159"/>
      <c r="H235" s="159"/>
      <c r="I235" s="159"/>
      <c r="J235" s="123"/>
    </row>
    <row r="236" spans="1:10" ht="30" customHeight="1" x14ac:dyDescent="0.25">
      <c r="A236" s="169"/>
      <c r="B236" s="216"/>
      <c r="C236" s="159"/>
      <c r="D236" s="234">
        <v>20000000</v>
      </c>
      <c r="E236" s="159"/>
      <c r="F236" s="159">
        <v>15000000</v>
      </c>
      <c r="G236" s="159"/>
      <c r="H236" s="159"/>
      <c r="I236" s="159"/>
      <c r="J236" s="268" t="s">
        <v>732</v>
      </c>
    </row>
    <row r="237" spans="1:10" ht="15.75" x14ac:dyDescent="0.25">
      <c r="A237" s="169"/>
      <c r="B237" s="216"/>
      <c r="C237" s="159"/>
      <c r="D237" s="234">
        <v>3422308</v>
      </c>
      <c r="E237" s="159"/>
      <c r="F237" s="159">
        <v>3422308</v>
      </c>
      <c r="G237" s="159"/>
      <c r="H237" s="159"/>
      <c r="I237" s="159"/>
      <c r="J237" s="156" t="s">
        <v>422</v>
      </c>
    </row>
    <row r="238" spans="1:10" ht="51" hidden="1" x14ac:dyDescent="0.25">
      <c r="A238" s="169"/>
      <c r="B238" s="216" t="s">
        <v>450</v>
      </c>
      <c r="C238" s="159"/>
      <c r="D238" s="234">
        <v>3000000</v>
      </c>
      <c r="E238" s="159"/>
      <c r="F238" s="159"/>
      <c r="G238" s="159"/>
      <c r="H238" s="159"/>
      <c r="I238" s="159"/>
      <c r="J238" s="123" t="s">
        <v>502</v>
      </c>
    </row>
    <row r="239" spans="1:10" ht="63.75" hidden="1" x14ac:dyDescent="0.25">
      <c r="A239" s="169"/>
      <c r="B239" s="216"/>
      <c r="C239" s="159"/>
      <c r="D239" s="234">
        <v>656804</v>
      </c>
      <c r="E239" s="159"/>
      <c r="F239" s="159"/>
      <c r="G239" s="159"/>
      <c r="H239" s="159"/>
      <c r="I239" s="159"/>
      <c r="J239" s="123" t="s">
        <v>503</v>
      </c>
    </row>
    <row r="240" spans="1:10" ht="51" hidden="1" x14ac:dyDescent="0.25">
      <c r="A240" s="169"/>
      <c r="B240" s="216"/>
      <c r="C240" s="159"/>
      <c r="D240" s="234">
        <v>1045700</v>
      </c>
      <c r="E240" s="159"/>
      <c r="F240" s="159">
        <v>0</v>
      </c>
      <c r="G240" s="159"/>
      <c r="H240" s="159"/>
      <c r="I240" s="159"/>
      <c r="J240" s="123" t="s">
        <v>504</v>
      </c>
    </row>
    <row r="241" spans="1:11" ht="76.5" hidden="1" x14ac:dyDescent="0.25">
      <c r="A241" s="169"/>
      <c r="B241" s="216"/>
      <c r="C241" s="159"/>
      <c r="D241" s="234">
        <v>2020000</v>
      </c>
      <c r="E241" s="159"/>
      <c r="F241" s="159"/>
      <c r="G241" s="159"/>
      <c r="H241" s="159"/>
      <c r="I241" s="159"/>
      <c r="J241" s="123" t="s">
        <v>505</v>
      </c>
    </row>
    <row r="242" spans="1:11" ht="63.75" hidden="1" x14ac:dyDescent="0.25">
      <c r="A242" s="169"/>
      <c r="B242" s="216"/>
      <c r="C242" s="159"/>
      <c r="D242" s="234">
        <v>750000</v>
      </c>
      <c r="E242" s="159"/>
      <c r="F242" s="159"/>
      <c r="G242" s="159"/>
      <c r="H242" s="159"/>
      <c r="I242" s="159"/>
      <c r="J242" s="123" t="s">
        <v>506</v>
      </c>
    </row>
    <row r="243" spans="1:11" ht="38.25" hidden="1" x14ac:dyDescent="0.25">
      <c r="A243" s="169"/>
      <c r="B243" s="216"/>
      <c r="C243" s="159"/>
      <c r="D243" s="234">
        <v>308645</v>
      </c>
      <c r="E243" s="159"/>
      <c r="F243" s="159"/>
      <c r="G243" s="159"/>
      <c r="H243" s="159"/>
      <c r="I243" s="159"/>
      <c r="J243" s="123" t="s">
        <v>507</v>
      </c>
    </row>
    <row r="244" spans="1:11" ht="38.25" hidden="1" x14ac:dyDescent="0.25">
      <c r="A244" s="169"/>
      <c r="B244" s="216"/>
      <c r="C244" s="159"/>
      <c r="D244" s="234">
        <v>5226000</v>
      </c>
      <c r="E244" s="159"/>
      <c r="F244" s="159"/>
      <c r="G244" s="159"/>
      <c r="H244" s="159"/>
      <c r="I244" s="159"/>
      <c r="J244" s="123" t="s">
        <v>508</v>
      </c>
    </row>
    <row r="245" spans="1:11" ht="51" hidden="1" x14ac:dyDescent="0.25">
      <c r="A245" s="169"/>
      <c r="B245" s="216"/>
      <c r="C245" s="159"/>
      <c r="D245" s="234">
        <v>22400000</v>
      </c>
      <c r="E245" s="159"/>
      <c r="F245" s="159"/>
      <c r="G245" s="159"/>
      <c r="H245" s="159"/>
      <c r="I245" s="159"/>
      <c r="J245" s="123" t="s">
        <v>509</v>
      </c>
    </row>
    <row r="246" spans="1:11" ht="63.75" hidden="1" x14ac:dyDescent="0.25">
      <c r="A246" s="169"/>
      <c r="B246" s="216"/>
      <c r="C246" s="159"/>
      <c r="D246" s="234">
        <v>7000000</v>
      </c>
      <c r="E246" s="159"/>
      <c r="F246" s="159"/>
      <c r="G246" s="159"/>
      <c r="H246" s="159"/>
      <c r="I246" s="159"/>
      <c r="J246" s="123" t="s">
        <v>510</v>
      </c>
    </row>
    <row r="247" spans="1:11" ht="51" hidden="1" x14ac:dyDescent="0.25">
      <c r="A247" s="169"/>
      <c r="B247" s="216"/>
      <c r="C247" s="159"/>
      <c r="D247" s="234">
        <v>514000</v>
      </c>
      <c r="E247" s="159"/>
      <c r="F247" s="159"/>
      <c r="G247" s="159"/>
      <c r="H247" s="159"/>
      <c r="I247" s="159"/>
      <c r="J247" s="123" t="s">
        <v>511</v>
      </c>
    </row>
    <row r="248" spans="1:11" ht="63.75" hidden="1" x14ac:dyDescent="0.25">
      <c r="A248" s="169"/>
      <c r="B248" s="216"/>
      <c r="C248" s="159"/>
      <c r="D248" s="234">
        <v>16164094</v>
      </c>
      <c r="E248" s="159"/>
      <c r="F248" s="159"/>
      <c r="G248" s="159"/>
      <c r="H248" s="159"/>
      <c r="I248" s="159"/>
      <c r="J248" s="123" t="s">
        <v>512</v>
      </c>
    </row>
    <row r="249" spans="1:11" ht="51" hidden="1" x14ac:dyDescent="0.25">
      <c r="A249" s="169"/>
      <c r="B249" s="216"/>
      <c r="C249" s="159"/>
      <c r="D249" s="234">
        <v>6000000</v>
      </c>
      <c r="E249" s="159"/>
      <c r="F249" s="159"/>
      <c r="G249" s="159"/>
      <c r="H249" s="159"/>
      <c r="I249" s="159"/>
      <c r="J249" s="123" t="s">
        <v>513</v>
      </c>
    </row>
    <row r="250" spans="1:11" ht="40.5" customHeight="1" x14ac:dyDescent="0.25">
      <c r="A250" s="169"/>
      <c r="B250" s="216" t="s">
        <v>514</v>
      </c>
      <c r="C250" s="159"/>
      <c r="D250" s="234">
        <v>43145574</v>
      </c>
      <c r="E250" s="159"/>
      <c r="F250" s="159">
        <v>39425009</v>
      </c>
      <c r="G250" s="159"/>
      <c r="H250" s="159"/>
      <c r="I250" s="159"/>
      <c r="J250" s="123" t="s">
        <v>755</v>
      </c>
      <c r="K250" s="227"/>
    </row>
    <row r="251" spans="1:11" ht="15.75" hidden="1" x14ac:dyDescent="0.25">
      <c r="A251" s="169"/>
      <c r="B251" s="216"/>
      <c r="C251" s="159"/>
      <c r="D251" s="234"/>
      <c r="E251" s="159"/>
      <c r="F251" s="159"/>
      <c r="G251" s="159"/>
      <c r="H251" s="159">
        <v>310842</v>
      </c>
      <c r="I251" s="159">
        <v>310842</v>
      </c>
      <c r="J251" s="123"/>
    </row>
    <row r="252" spans="1:11" ht="15.75" hidden="1" x14ac:dyDescent="0.25">
      <c r="A252" s="169"/>
      <c r="B252" s="216"/>
      <c r="C252" s="159"/>
      <c r="D252" s="234"/>
      <c r="E252" s="159"/>
      <c r="F252" s="159"/>
      <c r="G252" s="159"/>
      <c r="H252" s="159">
        <v>874</v>
      </c>
      <c r="I252" s="159">
        <v>874</v>
      </c>
      <c r="J252" s="123"/>
    </row>
    <row r="253" spans="1:11" ht="38.25" x14ac:dyDescent="0.25">
      <c r="A253" s="169"/>
      <c r="B253" s="123" t="s">
        <v>450</v>
      </c>
      <c r="C253" s="175"/>
      <c r="D253" s="175"/>
      <c r="E253" s="175"/>
      <c r="F253" s="176">
        <v>3000000</v>
      </c>
      <c r="G253" s="175"/>
      <c r="H253" s="175"/>
      <c r="I253" s="175"/>
      <c r="J253" s="212" t="s">
        <v>701</v>
      </c>
    </row>
    <row r="254" spans="1:11" ht="15.75" hidden="1" x14ac:dyDescent="0.25">
      <c r="A254" s="169"/>
      <c r="B254" s="174"/>
      <c r="C254" s="175"/>
      <c r="D254" s="175"/>
      <c r="E254" s="175"/>
      <c r="F254" s="175"/>
      <c r="G254" s="175"/>
      <c r="H254" s="175"/>
      <c r="I254" s="175"/>
      <c r="J254" s="212"/>
    </row>
    <row r="255" spans="1:11" ht="15.75" hidden="1" x14ac:dyDescent="0.25">
      <c r="A255" s="169"/>
      <c r="B255" s="174"/>
      <c r="C255" s="175"/>
      <c r="D255" s="175"/>
      <c r="E255" s="175"/>
      <c r="F255" s="175"/>
      <c r="G255" s="175"/>
      <c r="H255" s="175"/>
      <c r="I255" s="175"/>
      <c r="J255" s="212"/>
      <c r="K255" s="227"/>
    </row>
    <row r="256" spans="1:11" ht="15.75" hidden="1" x14ac:dyDescent="0.25">
      <c r="A256" s="169"/>
      <c r="B256" s="174"/>
      <c r="C256" s="176"/>
      <c r="D256" s="176"/>
      <c r="E256" s="176"/>
      <c r="F256" s="176"/>
      <c r="G256" s="176"/>
      <c r="H256" s="176"/>
      <c r="I256" s="176"/>
      <c r="J256" s="212"/>
      <c r="K256" s="227"/>
    </row>
    <row r="257" spans="1:11" ht="42.75" customHeight="1" x14ac:dyDescent="0.25">
      <c r="A257" s="169" t="s">
        <v>186</v>
      </c>
      <c r="B257" s="214" t="s">
        <v>14</v>
      </c>
      <c r="C257" s="233">
        <f>C258+C261</f>
        <v>0</v>
      </c>
      <c r="D257" s="233">
        <f t="shared" ref="D257:I257" si="78">D258+D261</f>
        <v>5976367</v>
      </c>
      <c r="E257" s="233">
        <f t="shared" si="78"/>
        <v>0</v>
      </c>
      <c r="F257" s="233">
        <f t="shared" si="78"/>
        <v>1000000</v>
      </c>
      <c r="G257" s="233">
        <f t="shared" si="78"/>
        <v>0</v>
      </c>
      <c r="H257" s="233">
        <f t="shared" si="78"/>
        <v>0</v>
      </c>
      <c r="I257" s="233">
        <f t="shared" si="78"/>
        <v>0</v>
      </c>
      <c r="J257" s="156"/>
    </row>
    <row r="258" spans="1:11" ht="15.75" x14ac:dyDescent="0.25">
      <c r="A258" s="169"/>
      <c r="B258" s="174" t="s">
        <v>163</v>
      </c>
      <c r="C258" s="235">
        <f>C259+C260</f>
        <v>0</v>
      </c>
      <c r="D258" s="235">
        <f t="shared" ref="D258:I258" si="79">D259+D260</f>
        <v>1150750</v>
      </c>
      <c r="E258" s="235">
        <f t="shared" si="79"/>
        <v>0</v>
      </c>
      <c r="F258" s="235">
        <f t="shared" si="79"/>
        <v>1000000</v>
      </c>
      <c r="G258" s="235">
        <f t="shared" si="79"/>
        <v>0</v>
      </c>
      <c r="H258" s="235">
        <f t="shared" si="79"/>
        <v>0</v>
      </c>
      <c r="I258" s="235">
        <f t="shared" si="79"/>
        <v>0</v>
      </c>
      <c r="J258" s="123"/>
    </row>
    <row r="259" spans="1:11" ht="66" customHeight="1" x14ac:dyDescent="0.25">
      <c r="A259" s="236"/>
      <c r="B259" s="216" t="s">
        <v>232</v>
      </c>
      <c r="C259" s="159"/>
      <c r="D259" s="234">
        <v>1150750</v>
      </c>
      <c r="E259" s="159"/>
      <c r="F259" s="159">
        <v>1000000</v>
      </c>
      <c r="G259" s="159"/>
      <c r="H259" s="159"/>
      <c r="I259" s="159"/>
      <c r="J259" s="123" t="s">
        <v>774</v>
      </c>
    </row>
    <row r="260" spans="1:11" ht="15.75" hidden="1" x14ac:dyDescent="0.25">
      <c r="A260" s="236"/>
      <c r="B260" s="123"/>
      <c r="C260" s="159"/>
      <c r="D260" s="234"/>
      <c r="E260" s="159"/>
      <c r="F260" s="159"/>
      <c r="G260" s="159"/>
      <c r="H260" s="159"/>
      <c r="I260" s="159"/>
      <c r="J260" s="123"/>
    </row>
    <row r="261" spans="1:11" s="190" customFormat="1" ht="25.5" hidden="1" x14ac:dyDescent="0.25">
      <c r="A261" s="195"/>
      <c r="B261" s="157" t="s">
        <v>148</v>
      </c>
      <c r="C261" s="235">
        <f t="shared" ref="C261" si="80">C262</f>
        <v>0</v>
      </c>
      <c r="D261" s="235">
        <f>D262</f>
        <v>4825617</v>
      </c>
      <c r="E261" s="235">
        <f t="shared" ref="E261:I261" si="81">E262</f>
        <v>0</v>
      </c>
      <c r="F261" s="235">
        <f t="shared" si="81"/>
        <v>0</v>
      </c>
      <c r="G261" s="235">
        <f t="shared" si="81"/>
        <v>0</v>
      </c>
      <c r="H261" s="235">
        <f t="shared" si="81"/>
        <v>0</v>
      </c>
      <c r="I261" s="235">
        <f t="shared" si="81"/>
        <v>0</v>
      </c>
      <c r="J261" s="174"/>
      <c r="K261" s="189"/>
    </row>
    <row r="262" spans="1:11" ht="90.75" hidden="1" customHeight="1" x14ac:dyDescent="0.25">
      <c r="A262" s="169"/>
      <c r="B262" s="216" t="s">
        <v>234</v>
      </c>
      <c r="C262" s="235"/>
      <c r="D262" s="159">
        <v>4825617</v>
      </c>
      <c r="E262" s="235"/>
      <c r="F262" s="159">
        <v>0</v>
      </c>
      <c r="G262" s="235"/>
      <c r="H262" s="159"/>
      <c r="I262" s="159"/>
      <c r="J262" s="123" t="s">
        <v>235</v>
      </c>
    </row>
    <row r="263" spans="1:11" ht="38.25" hidden="1" x14ac:dyDescent="0.25">
      <c r="A263" s="169" t="s">
        <v>187</v>
      </c>
      <c r="B263" s="214" t="s">
        <v>153</v>
      </c>
      <c r="C263" s="233">
        <f>C264</f>
        <v>0</v>
      </c>
      <c r="D263" s="233">
        <f t="shared" ref="D263:I264" si="82">D264</f>
        <v>0</v>
      </c>
      <c r="E263" s="233">
        <f t="shared" si="82"/>
        <v>0</v>
      </c>
      <c r="F263" s="233">
        <f t="shared" si="82"/>
        <v>0</v>
      </c>
      <c r="G263" s="233">
        <f t="shared" si="82"/>
        <v>0</v>
      </c>
      <c r="H263" s="233">
        <f t="shared" si="82"/>
        <v>0</v>
      </c>
      <c r="I263" s="233">
        <f t="shared" si="82"/>
        <v>0</v>
      </c>
      <c r="J263" s="156"/>
    </row>
    <row r="264" spans="1:11" ht="25.5" hidden="1" x14ac:dyDescent="0.25">
      <c r="A264" s="237"/>
      <c r="B264" s="157" t="s">
        <v>67</v>
      </c>
      <c r="C264" s="159">
        <f>C265</f>
        <v>0</v>
      </c>
      <c r="D264" s="159">
        <f t="shared" si="82"/>
        <v>0</v>
      </c>
      <c r="E264" s="159">
        <f t="shared" si="82"/>
        <v>0</v>
      </c>
      <c r="F264" s="159">
        <f t="shared" si="82"/>
        <v>0</v>
      </c>
      <c r="G264" s="159">
        <f t="shared" si="82"/>
        <v>0</v>
      </c>
      <c r="H264" s="159">
        <f t="shared" si="82"/>
        <v>0</v>
      </c>
      <c r="I264" s="159">
        <f t="shared" si="82"/>
        <v>0</v>
      </c>
      <c r="J264" s="123"/>
    </row>
    <row r="265" spans="1:11" ht="15.75" hidden="1" x14ac:dyDescent="0.25">
      <c r="A265" s="236"/>
      <c r="B265" s="216"/>
      <c r="C265" s="159"/>
      <c r="D265" s="159"/>
      <c r="E265" s="159"/>
      <c r="F265" s="159"/>
      <c r="G265" s="159"/>
      <c r="H265" s="159"/>
      <c r="I265" s="159"/>
      <c r="J265" s="184"/>
    </row>
    <row r="266" spans="1:11" ht="51" hidden="1" x14ac:dyDescent="0.25">
      <c r="A266" s="169" t="s">
        <v>326</v>
      </c>
      <c r="B266" s="214" t="s">
        <v>327</v>
      </c>
      <c r="C266" s="233">
        <f>C267</f>
        <v>0</v>
      </c>
      <c r="D266" s="233">
        <f t="shared" ref="D266:I267" si="83">D267</f>
        <v>0</v>
      </c>
      <c r="E266" s="233">
        <f t="shared" si="83"/>
        <v>0</v>
      </c>
      <c r="F266" s="233">
        <f t="shared" si="83"/>
        <v>0</v>
      </c>
      <c r="G266" s="233">
        <f t="shared" si="83"/>
        <v>0</v>
      </c>
      <c r="H266" s="233">
        <f t="shared" si="83"/>
        <v>0</v>
      </c>
      <c r="I266" s="233">
        <f t="shared" si="83"/>
        <v>200000</v>
      </c>
      <c r="J266" s="156"/>
    </row>
    <row r="267" spans="1:11" ht="38.25" hidden="1" x14ac:dyDescent="0.25">
      <c r="A267" s="237"/>
      <c r="B267" s="157" t="s">
        <v>127</v>
      </c>
      <c r="C267" s="159">
        <f>C268</f>
        <v>0</v>
      </c>
      <c r="D267" s="159">
        <f t="shared" si="83"/>
        <v>0</v>
      </c>
      <c r="E267" s="159">
        <f t="shared" si="83"/>
        <v>0</v>
      </c>
      <c r="F267" s="159">
        <f t="shared" si="83"/>
        <v>0</v>
      </c>
      <c r="G267" s="159">
        <f t="shared" si="83"/>
        <v>0</v>
      </c>
      <c r="H267" s="159">
        <f t="shared" si="83"/>
        <v>0</v>
      </c>
      <c r="I267" s="159">
        <f t="shared" si="83"/>
        <v>200000</v>
      </c>
      <c r="J267" s="123"/>
    </row>
    <row r="268" spans="1:11" ht="15.75" hidden="1" x14ac:dyDescent="0.25">
      <c r="A268" s="236"/>
      <c r="B268" s="216"/>
      <c r="C268" s="159"/>
      <c r="D268" s="159"/>
      <c r="E268" s="159"/>
      <c r="F268" s="159"/>
      <c r="G268" s="159"/>
      <c r="H268" s="159"/>
      <c r="I268" s="159">
        <v>200000</v>
      </c>
      <c r="J268" s="184"/>
    </row>
    <row r="269" spans="1:11" ht="42.75" customHeight="1" x14ac:dyDescent="0.25">
      <c r="A269" s="169" t="s">
        <v>188</v>
      </c>
      <c r="B269" s="198" t="s">
        <v>72</v>
      </c>
      <c r="C269" s="171">
        <f>C275+C270</f>
        <v>1806900</v>
      </c>
      <c r="D269" s="171">
        <f t="shared" ref="D269:I269" si="84">D275+D270</f>
        <v>0</v>
      </c>
      <c r="E269" s="171">
        <f t="shared" si="84"/>
        <v>733220</v>
      </c>
      <c r="F269" s="171">
        <f t="shared" ref="F269:G269" si="85">F275+F270</f>
        <v>0</v>
      </c>
      <c r="G269" s="171">
        <f t="shared" si="85"/>
        <v>759689</v>
      </c>
      <c r="H269" s="171">
        <f t="shared" si="84"/>
        <v>1465310</v>
      </c>
      <c r="I269" s="171">
        <f t="shared" si="84"/>
        <v>1465310</v>
      </c>
      <c r="J269" s="123"/>
    </row>
    <row r="270" spans="1:11" ht="79.5" customHeight="1" x14ac:dyDescent="0.25">
      <c r="A270" s="169" t="s">
        <v>135</v>
      </c>
      <c r="B270" s="198" t="s">
        <v>101</v>
      </c>
      <c r="C270" s="171">
        <f t="shared" ref="C270:I270" si="86">C271</f>
        <v>0</v>
      </c>
      <c r="D270" s="171">
        <f t="shared" si="86"/>
        <v>0</v>
      </c>
      <c r="E270" s="171">
        <f t="shared" si="86"/>
        <v>733220</v>
      </c>
      <c r="F270" s="171">
        <f t="shared" si="86"/>
        <v>0</v>
      </c>
      <c r="G270" s="171">
        <f t="shared" si="86"/>
        <v>733220</v>
      </c>
      <c r="H270" s="171">
        <f t="shared" si="86"/>
        <v>50000</v>
      </c>
      <c r="I270" s="171">
        <f t="shared" si="86"/>
        <v>50000</v>
      </c>
      <c r="J270" s="123"/>
    </row>
    <row r="271" spans="1:11" ht="42" customHeight="1" x14ac:dyDescent="0.25">
      <c r="A271" s="169"/>
      <c r="B271" s="174" t="s">
        <v>125</v>
      </c>
      <c r="C271" s="175">
        <f>C272+C274+C273</f>
        <v>0</v>
      </c>
      <c r="D271" s="175">
        <f>D272+D274+D273</f>
        <v>0</v>
      </c>
      <c r="E271" s="175">
        <f t="shared" ref="E271:I271" si="87">E272+E274+E273</f>
        <v>733220</v>
      </c>
      <c r="F271" s="175">
        <f>F272+F274+F273</f>
        <v>0</v>
      </c>
      <c r="G271" s="175">
        <f t="shared" ref="G271" si="88">G272+G274+G273</f>
        <v>733220</v>
      </c>
      <c r="H271" s="175">
        <f t="shared" si="87"/>
        <v>50000</v>
      </c>
      <c r="I271" s="175">
        <f t="shared" si="87"/>
        <v>50000</v>
      </c>
      <c r="J271" s="123"/>
    </row>
    <row r="272" spans="1:11" ht="21.75" customHeight="1" x14ac:dyDescent="0.25">
      <c r="A272" s="169"/>
      <c r="B272" s="123" t="s">
        <v>248</v>
      </c>
      <c r="C272" s="176"/>
      <c r="D272" s="176"/>
      <c r="E272" s="176">
        <v>733220</v>
      </c>
      <c r="F272" s="176"/>
      <c r="G272" s="176">
        <v>733220</v>
      </c>
      <c r="H272" s="176"/>
      <c r="I272" s="176"/>
      <c r="J272" s="274" t="s">
        <v>687</v>
      </c>
    </row>
    <row r="273" spans="1:11" ht="15.75" hidden="1" x14ac:dyDescent="0.25">
      <c r="A273" s="169"/>
      <c r="B273" s="123"/>
      <c r="C273" s="176"/>
      <c r="D273" s="176"/>
      <c r="E273" s="176"/>
      <c r="F273" s="176"/>
      <c r="G273" s="176"/>
      <c r="H273" s="176">
        <v>50000</v>
      </c>
      <c r="I273" s="176">
        <v>50000</v>
      </c>
      <c r="J273" s="123"/>
    </row>
    <row r="274" spans="1:11" ht="15.75" hidden="1" x14ac:dyDescent="0.25">
      <c r="A274" s="169"/>
      <c r="B274" s="123"/>
      <c r="C274" s="176"/>
      <c r="D274" s="176"/>
      <c r="E274" s="176"/>
      <c r="F274" s="176"/>
      <c r="G274" s="176"/>
      <c r="H274" s="176"/>
      <c r="I274" s="176"/>
      <c r="J274" s="123"/>
    </row>
    <row r="275" spans="1:11" ht="53.25" customHeight="1" x14ac:dyDescent="0.25">
      <c r="A275" s="169" t="s">
        <v>189</v>
      </c>
      <c r="B275" s="198" t="s">
        <v>740</v>
      </c>
      <c r="C275" s="171">
        <f>C276</f>
        <v>1806900</v>
      </c>
      <c r="D275" s="171">
        <f t="shared" ref="D275:I275" si="89">D276</f>
        <v>0</v>
      </c>
      <c r="E275" s="171">
        <f t="shared" si="89"/>
        <v>0</v>
      </c>
      <c r="F275" s="171">
        <f t="shared" si="89"/>
        <v>0</v>
      </c>
      <c r="G275" s="171">
        <f t="shared" si="89"/>
        <v>26469</v>
      </c>
      <c r="H275" s="171">
        <f t="shared" si="89"/>
        <v>1415310</v>
      </c>
      <c r="I275" s="171">
        <f t="shared" si="89"/>
        <v>1415310</v>
      </c>
      <c r="J275" s="123"/>
    </row>
    <row r="276" spans="1:11" ht="42.75" customHeight="1" x14ac:dyDescent="0.25">
      <c r="A276" s="169"/>
      <c r="B276" s="174" t="s">
        <v>125</v>
      </c>
      <c r="C276" s="175">
        <f>C277+C278</f>
        <v>1806900</v>
      </c>
      <c r="D276" s="175">
        <f t="shared" ref="D276:I276" si="90">D277+D278</f>
        <v>0</v>
      </c>
      <c r="E276" s="175">
        <f t="shared" si="90"/>
        <v>0</v>
      </c>
      <c r="F276" s="175">
        <f t="shared" ref="F276:G276" si="91">F277+F278</f>
        <v>0</v>
      </c>
      <c r="G276" s="175">
        <f t="shared" si="91"/>
        <v>26469</v>
      </c>
      <c r="H276" s="175">
        <f t="shared" si="90"/>
        <v>1415310</v>
      </c>
      <c r="I276" s="175">
        <f t="shared" si="90"/>
        <v>1415310</v>
      </c>
      <c r="J276" s="199"/>
    </row>
    <row r="277" spans="1:11" ht="67.150000000000006" customHeight="1" x14ac:dyDescent="0.25">
      <c r="A277" s="169"/>
      <c r="B277" s="123" t="s">
        <v>277</v>
      </c>
      <c r="C277" s="176">
        <v>1806900</v>
      </c>
      <c r="D277" s="176"/>
      <c r="E277" s="176"/>
      <c r="F277" s="176"/>
      <c r="G277" s="176"/>
      <c r="H277" s="176"/>
      <c r="I277" s="176"/>
      <c r="J277" s="123" t="s">
        <v>775</v>
      </c>
    </row>
    <row r="278" spans="1:11" ht="54.75" customHeight="1" x14ac:dyDescent="0.25">
      <c r="A278" s="169"/>
      <c r="B278" s="123" t="s">
        <v>730</v>
      </c>
      <c r="C278" s="176"/>
      <c r="D278" s="176"/>
      <c r="E278" s="176"/>
      <c r="F278" s="176"/>
      <c r="G278" s="176">
        <v>26469</v>
      </c>
      <c r="H278" s="176">
        <v>1415310</v>
      </c>
      <c r="I278" s="176">
        <v>1415310</v>
      </c>
      <c r="J278" s="123"/>
    </row>
    <row r="279" spans="1:11" ht="42" customHeight="1" x14ac:dyDescent="0.25">
      <c r="A279" s="169" t="s">
        <v>190</v>
      </c>
      <c r="B279" s="173" t="s">
        <v>62</v>
      </c>
      <c r="C279" s="171">
        <f t="shared" ref="C279:I279" si="92">C280+C291</f>
        <v>0</v>
      </c>
      <c r="D279" s="171">
        <f t="shared" si="92"/>
        <v>10129000</v>
      </c>
      <c r="E279" s="171">
        <f t="shared" si="92"/>
        <v>0</v>
      </c>
      <c r="F279" s="171">
        <f t="shared" ref="F279:G279" si="93">F280+F291</f>
        <v>129000</v>
      </c>
      <c r="G279" s="171">
        <f t="shared" si="93"/>
        <v>55000</v>
      </c>
      <c r="H279" s="171">
        <f t="shared" si="92"/>
        <v>4356331</v>
      </c>
      <c r="I279" s="171">
        <f t="shared" si="92"/>
        <v>4356331</v>
      </c>
      <c r="J279" s="123"/>
    </row>
    <row r="280" spans="1:11" ht="41.25" customHeight="1" x14ac:dyDescent="0.25">
      <c r="A280" s="169" t="s">
        <v>191</v>
      </c>
      <c r="B280" s="177" t="s">
        <v>63</v>
      </c>
      <c r="C280" s="178">
        <f t="shared" ref="C280:I280" si="94">C281</f>
        <v>0</v>
      </c>
      <c r="D280" s="178">
        <f t="shared" si="94"/>
        <v>10129000</v>
      </c>
      <c r="E280" s="178">
        <f t="shared" si="94"/>
        <v>0</v>
      </c>
      <c r="F280" s="178">
        <f t="shared" si="94"/>
        <v>129000</v>
      </c>
      <c r="G280" s="178">
        <f t="shared" si="94"/>
        <v>55000</v>
      </c>
      <c r="H280" s="178">
        <f t="shared" si="94"/>
        <v>4356331</v>
      </c>
      <c r="I280" s="178">
        <f t="shared" si="94"/>
        <v>4356331</v>
      </c>
      <c r="J280" s="123"/>
    </row>
    <row r="281" spans="1:11" ht="42" customHeight="1" x14ac:dyDescent="0.25">
      <c r="A281" s="238"/>
      <c r="B281" s="174" t="s">
        <v>165</v>
      </c>
      <c r="C281" s="175">
        <f>SUM(C282:C290)</f>
        <v>0</v>
      </c>
      <c r="D281" s="175">
        <f t="shared" ref="D281:I281" si="95">SUM(D282:D290)</f>
        <v>10129000</v>
      </c>
      <c r="E281" s="175">
        <f t="shared" si="95"/>
        <v>0</v>
      </c>
      <c r="F281" s="175">
        <f>SUM(F282:F290)</f>
        <v>129000</v>
      </c>
      <c r="G281" s="175">
        <f t="shared" si="95"/>
        <v>55000</v>
      </c>
      <c r="H281" s="175">
        <f t="shared" si="95"/>
        <v>4356331</v>
      </c>
      <c r="I281" s="175">
        <f t="shared" si="95"/>
        <v>4356331</v>
      </c>
      <c r="J281" s="239"/>
    </row>
    <row r="282" spans="1:11" ht="15.75" x14ac:dyDescent="0.25">
      <c r="A282" s="169"/>
      <c r="B282" s="123"/>
      <c r="C282" s="176"/>
      <c r="D282" s="176">
        <v>129000</v>
      </c>
      <c r="E282" s="176"/>
      <c r="F282" s="176">
        <v>129000</v>
      </c>
      <c r="G282" s="176"/>
      <c r="H282" s="176"/>
      <c r="I282" s="176"/>
      <c r="J282" s="156" t="s">
        <v>422</v>
      </c>
      <c r="K282" s="227"/>
    </row>
    <row r="283" spans="1:11" ht="15.75" hidden="1" x14ac:dyDescent="0.25">
      <c r="A283" s="169"/>
      <c r="B283" s="123"/>
      <c r="C283" s="176"/>
      <c r="D283" s="176">
        <v>10000000</v>
      </c>
      <c r="E283" s="176"/>
      <c r="F283" s="176"/>
      <c r="G283" s="176"/>
      <c r="H283" s="176"/>
      <c r="I283" s="176"/>
      <c r="J283" s="123" t="s">
        <v>518</v>
      </c>
      <c r="K283" s="227"/>
    </row>
    <row r="284" spans="1:11" ht="15.75" hidden="1" x14ac:dyDescent="0.25">
      <c r="A284" s="169"/>
      <c r="B284" s="123"/>
      <c r="C284" s="176"/>
      <c r="D284" s="176"/>
      <c r="E284" s="176"/>
      <c r="F284" s="176"/>
      <c r="G284" s="176"/>
      <c r="H284" s="176">
        <v>105000</v>
      </c>
      <c r="I284" s="176">
        <v>105000</v>
      </c>
      <c r="J284" s="123"/>
      <c r="K284" s="227"/>
    </row>
    <row r="285" spans="1:11" ht="15.75" hidden="1" x14ac:dyDescent="0.25">
      <c r="A285" s="169"/>
      <c r="B285" s="123"/>
      <c r="C285" s="176"/>
      <c r="D285" s="176"/>
      <c r="E285" s="176"/>
      <c r="F285" s="176"/>
      <c r="G285" s="176"/>
      <c r="H285" s="176">
        <v>940600</v>
      </c>
      <c r="I285" s="176">
        <v>930000</v>
      </c>
      <c r="J285" s="123"/>
      <c r="K285" s="227"/>
    </row>
    <row r="286" spans="1:11" ht="15.75" hidden="1" x14ac:dyDescent="0.25">
      <c r="A286" s="169"/>
      <c r="B286" s="123"/>
      <c r="C286" s="176"/>
      <c r="D286" s="176"/>
      <c r="E286" s="176"/>
      <c r="F286" s="176"/>
      <c r="G286" s="176"/>
      <c r="H286" s="176">
        <v>125400</v>
      </c>
      <c r="I286" s="176">
        <v>136000</v>
      </c>
      <c r="J286" s="123"/>
      <c r="K286" s="227"/>
    </row>
    <row r="287" spans="1:11" ht="15.75" hidden="1" x14ac:dyDescent="0.25">
      <c r="A287" s="169"/>
      <c r="B287" s="123"/>
      <c r="C287" s="176"/>
      <c r="D287" s="176"/>
      <c r="E287" s="176"/>
      <c r="F287" s="176"/>
      <c r="G287" s="176"/>
      <c r="H287" s="176">
        <v>1180000</v>
      </c>
      <c r="I287" s="176">
        <v>1180000</v>
      </c>
      <c r="J287" s="123"/>
      <c r="K287" s="227"/>
    </row>
    <row r="288" spans="1:11" ht="15.75" hidden="1" x14ac:dyDescent="0.25">
      <c r="A288" s="169"/>
      <c r="B288" s="212"/>
      <c r="C288" s="186"/>
      <c r="D288" s="176"/>
      <c r="E288" s="176"/>
      <c r="F288" s="176"/>
      <c r="G288" s="176"/>
      <c r="H288" s="176">
        <v>2005331</v>
      </c>
      <c r="I288" s="176">
        <v>2005331</v>
      </c>
      <c r="J288" s="123"/>
      <c r="K288" s="280"/>
    </row>
    <row r="289" spans="1:11" ht="64.5" customHeight="1" x14ac:dyDescent="0.25">
      <c r="A289" s="169"/>
      <c r="B289" s="212"/>
      <c r="C289" s="186"/>
      <c r="D289" s="176"/>
      <c r="E289" s="176"/>
      <c r="F289" s="176"/>
      <c r="G289" s="176"/>
      <c r="H289" s="176"/>
      <c r="I289" s="176"/>
      <c r="J289" s="173" t="s">
        <v>645</v>
      </c>
      <c r="K289" s="227"/>
    </row>
    <row r="290" spans="1:11" ht="15.75" x14ac:dyDescent="0.25">
      <c r="A290" s="169"/>
      <c r="B290" s="212"/>
      <c r="C290" s="186"/>
      <c r="D290" s="176"/>
      <c r="E290" s="176"/>
      <c r="F290" s="176"/>
      <c r="G290" s="176">
        <v>55000</v>
      </c>
      <c r="H290" s="176"/>
      <c r="I290" s="176"/>
      <c r="J290" s="212" t="s">
        <v>687</v>
      </c>
      <c r="K290" s="227"/>
    </row>
    <row r="291" spans="1:11" ht="63.75" hidden="1" x14ac:dyDescent="0.25">
      <c r="A291" s="169" t="s">
        <v>192</v>
      </c>
      <c r="B291" s="177" t="s">
        <v>64</v>
      </c>
      <c r="C291" s="171">
        <f>+C294+C292</f>
        <v>0</v>
      </c>
      <c r="D291" s="171">
        <f t="shared" ref="D291:I291" si="96">+D294+D292</f>
        <v>0</v>
      </c>
      <c r="E291" s="171">
        <f t="shared" si="96"/>
        <v>0</v>
      </c>
      <c r="F291" s="171">
        <f t="shared" ref="F291:G291" si="97">+F294+F292</f>
        <v>0</v>
      </c>
      <c r="G291" s="171">
        <f t="shared" si="97"/>
        <v>0</v>
      </c>
      <c r="H291" s="171">
        <f t="shared" si="96"/>
        <v>0</v>
      </c>
      <c r="I291" s="171">
        <f t="shared" si="96"/>
        <v>0</v>
      </c>
      <c r="J291" s="199"/>
    </row>
    <row r="292" spans="1:11" ht="38.25" hidden="1" x14ac:dyDescent="0.25">
      <c r="A292" s="169"/>
      <c r="B292" s="174" t="s">
        <v>165</v>
      </c>
      <c r="C292" s="176">
        <f t="shared" ref="C292:I292" si="98">C293</f>
        <v>0</v>
      </c>
      <c r="D292" s="176">
        <f t="shared" si="98"/>
        <v>0</v>
      </c>
      <c r="E292" s="176">
        <f t="shared" si="98"/>
        <v>0</v>
      </c>
      <c r="F292" s="176">
        <f t="shared" si="98"/>
        <v>0</v>
      </c>
      <c r="G292" s="176">
        <f t="shared" si="98"/>
        <v>0</v>
      </c>
      <c r="H292" s="176">
        <f t="shared" si="98"/>
        <v>0</v>
      </c>
      <c r="I292" s="176">
        <f t="shared" si="98"/>
        <v>0</v>
      </c>
      <c r="J292" s="212"/>
    </row>
    <row r="293" spans="1:11" ht="15.75" hidden="1" x14ac:dyDescent="0.25">
      <c r="A293" s="169"/>
      <c r="B293" s="212"/>
      <c r="C293" s="176"/>
      <c r="D293" s="176"/>
      <c r="E293" s="176"/>
      <c r="F293" s="176"/>
      <c r="G293" s="176"/>
      <c r="H293" s="176"/>
      <c r="I293" s="176"/>
      <c r="J293" s="212"/>
      <c r="K293" s="227"/>
    </row>
    <row r="294" spans="1:11" ht="25.5" hidden="1" x14ac:dyDescent="0.25">
      <c r="A294" s="169"/>
      <c r="B294" s="174" t="s">
        <v>67</v>
      </c>
      <c r="C294" s="175">
        <f t="shared" ref="C294" si="99">C295</f>
        <v>0</v>
      </c>
      <c r="D294" s="175"/>
      <c r="E294" s="175"/>
      <c r="F294" s="175"/>
      <c r="G294" s="175"/>
      <c r="H294" s="175"/>
      <c r="I294" s="175"/>
      <c r="J294" s="123"/>
    </row>
    <row r="295" spans="1:11" ht="15.75" hidden="1" x14ac:dyDescent="0.25">
      <c r="A295" s="169"/>
      <c r="B295" s="123"/>
      <c r="C295" s="176"/>
      <c r="D295" s="176"/>
      <c r="E295" s="176"/>
      <c r="F295" s="176"/>
      <c r="G295" s="176"/>
      <c r="H295" s="176"/>
      <c r="I295" s="176"/>
      <c r="J295" s="123"/>
    </row>
    <row r="296" spans="1:11" ht="59.25" customHeight="1" x14ac:dyDescent="0.25">
      <c r="A296" s="169" t="s">
        <v>193</v>
      </c>
      <c r="B296" s="173" t="s">
        <v>741</v>
      </c>
      <c r="C296" s="240">
        <f t="shared" ref="C296:I296" si="100">C297+C302+C308+C313</f>
        <v>0</v>
      </c>
      <c r="D296" s="240">
        <f t="shared" si="100"/>
        <v>810889615</v>
      </c>
      <c r="E296" s="240">
        <f t="shared" si="100"/>
        <v>0</v>
      </c>
      <c r="F296" s="240">
        <f t="shared" ref="F296:G296" si="101">F297+F302+F308+F313</f>
        <v>350789840</v>
      </c>
      <c r="G296" s="240">
        <f t="shared" si="101"/>
        <v>40437228</v>
      </c>
      <c r="H296" s="240">
        <f t="shared" si="100"/>
        <v>51590021</v>
      </c>
      <c r="I296" s="240">
        <f t="shared" si="100"/>
        <v>14898727</v>
      </c>
      <c r="J296" s="123"/>
    </row>
    <row r="297" spans="1:11" ht="54.75" customHeight="1" x14ac:dyDescent="0.25">
      <c r="A297" s="169" t="s">
        <v>194</v>
      </c>
      <c r="B297" s="173" t="s">
        <v>742</v>
      </c>
      <c r="C297" s="241">
        <f>C298</f>
        <v>0</v>
      </c>
      <c r="D297" s="241">
        <f t="shared" ref="D297:I297" si="102">D298</f>
        <v>0</v>
      </c>
      <c r="E297" s="241">
        <f t="shared" si="102"/>
        <v>0</v>
      </c>
      <c r="F297" s="241">
        <f t="shared" si="102"/>
        <v>0</v>
      </c>
      <c r="G297" s="241">
        <f t="shared" si="102"/>
        <v>38835221</v>
      </c>
      <c r="H297" s="241">
        <f t="shared" si="102"/>
        <v>38835221</v>
      </c>
      <c r="I297" s="241">
        <f t="shared" si="102"/>
        <v>2143927</v>
      </c>
      <c r="J297" s="156"/>
    </row>
    <row r="298" spans="1:11" ht="54" customHeight="1" x14ac:dyDescent="0.25">
      <c r="A298" s="169"/>
      <c r="B298" s="174" t="s">
        <v>164</v>
      </c>
      <c r="C298" s="175">
        <f t="shared" ref="C298:E298" si="103">C299+C300+C301</f>
        <v>0</v>
      </c>
      <c r="D298" s="175">
        <f t="shared" si="103"/>
        <v>0</v>
      </c>
      <c r="E298" s="175">
        <f t="shared" si="103"/>
        <v>0</v>
      </c>
      <c r="F298" s="175">
        <f t="shared" ref="F298" si="104">F299+F300+F301</f>
        <v>0</v>
      </c>
      <c r="G298" s="175">
        <f>G299</f>
        <v>38835221</v>
      </c>
      <c r="H298" s="175">
        <f>H299+H300+H301</f>
        <v>38835221</v>
      </c>
      <c r="I298" s="175">
        <f>I299+I300+I301</f>
        <v>2143927</v>
      </c>
      <c r="J298" s="199"/>
    </row>
    <row r="299" spans="1:11" ht="106.5" customHeight="1" x14ac:dyDescent="0.25">
      <c r="A299" s="272"/>
      <c r="B299" s="281" t="s">
        <v>735</v>
      </c>
      <c r="C299" s="135"/>
      <c r="D299" s="135"/>
      <c r="E299" s="135"/>
      <c r="F299" s="135"/>
      <c r="G299" s="135">
        <f>12702028+5298503+5298503+15536187</f>
        <v>38835221</v>
      </c>
      <c r="H299" s="135"/>
      <c r="I299" s="208">
        <v>2143927</v>
      </c>
      <c r="J299" s="123" t="s">
        <v>776</v>
      </c>
    </row>
    <row r="300" spans="1:11" ht="60" hidden="1" customHeight="1" x14ac:dyDescent="0.25">
      <c r="A300" s="270"/>
      <c r="B300" s="282"/>
      <c r="C300" s="45"/>
      <c r="D300" s="45"/>
      <c r="E300" s="45"/>
      <c r="F300" s="45"/>
      <c r="G300" s="283"/>
      <c r="H300" s="271">
        <f>12702028+5298503+5298503+15536187</f>
        <v>38835221</v>
      </c>
      <c r="I300" s="202"/>
      <c r="J300" s="274"/>
    </row>
    <row r="301" spans="1:11" ht="15.75" hidden="1" x14ac:dyDescent="0.25">
      <c r="A301" s="169"/>
      <c r="B301" s="215"/>
      <c r="C301" s="175"/>
      <c r="D301" s="175"/>
      <c r="E301" s="175"/>
      <c r="F301" s="175"/>
      <c r="G301" s="175"/>
      <c r="H301" s="202"/>
      <c r="I301" s="202"/>
      <c r="J301" s="274"/>
    </row>
    <row r="302" spans="1:11" ht="81" customHeight="1" x14ac:dyDescent="0.25">
      <c r="A302" s="169" t="s">
        <v>195</v>
      </c>
      <c r="B302" s="198" t="s">
        <v>743</v>
      </c>
      <c r="C302" s="242">
        <f t="shared" ref="C302:I302" si="105">C303</f>
        <v>0</v>
      </c>
      <c r="D302" s="242">
        <f t="shared" si="105"/>
        <v>790196935</v>
      </c>
      <c r="E302" s="242">
        <f t="shared" si="105"/>
        <v>0</v>
      </c>
      <c r="F302" s="242">
        <f t="shared" si="105"/>
        <v>350789840</v>
      </c>
      <c r="G302" s="242">
        <f t="shared" si="105"/>
        <v>171207</v>
      </c>
      <c r="H302" s="242">
        <f t="shared" si="105"/>
        <v>0</v>
      </c>
      <c r="I302" s="242">
        <f t="shared" si="105"/>
        <v>0</v>
      </c>
      <c r="J302" s="123"/>
    </row>
    <row r="303" spans="1:11" ht="54.75" customHeight="1" x14ac:dyDescent="0.25">
      <c r="A303" s="169"/>
      <c r="B303" s="174" t="s">
        <v>164</v>
      </c>
      <c r="C303" s="175">
        <f>SUM(C304:C307)</f>
        <v>0</v>
      </c>
      <c r="D303" s="175">
        <f t="shared" ref="D303:I303" si="106">SUM(D304:D307)</f>
        <v>790196935</v>
      </c>
      <c r="E303" s="175">
        <f t="shared" si="106"/>
        <v>0</v>
      </c>
      <c r="F303" s="175">
        <f t="shared" ref="F303:G303" si="107">SUM(F304:F307)</f>
        <v>350789840</v>
      </c>
      <c r="G303" s="175">
        <f t="shared" si="107"/>
        <v>171207</v>
      </c>
      <c r="H303" s="175">
        <f t="shared" si="106"/>
        <v>0</v>
      </c>
      <c r="I303" s="175">
        <f t="shared" si="106"/>
        <v>0</v>
      </c>
      <c r="J303" s="123"/>
    </row>
    <row r="304" spans="1:11" ht="42" customHeight="1" x14ac:dyDescent="0.25">
      <c r="A304" s="169"/>
      <c r="B304" s="123" t="s">
        <v>293</v>
      </c>
      <c r="C304" s="176"/>
      <c r="D304" s="243">
        <v>737975495</v>
      </c>
      <c r="E304" s="243"/>
      <c r="F304" s="243">
        <v>334368400</v>
      </c>
      <c r="G304" s="243"/>
      <c r="H304" s="243"/>
      <c r="I304" s="243"/>
      <c r="J304" s="123" t="s">
        <v>702</v>
      </c>
    </row>
    <row r="305" spans="1:10" ht="65.25" customHeight="1" x14ac:dyDescent="0.25">
      <c r="A305" s="169"/>
      <c r="B305" s="123" t="s">
        <v>294</v>
      </c>
      <c r="C305" s="176"/>
      <c r="D305" s="243">
        <v>1421440</v>
      </c>
      <c r="E305" s="243"/>
      <c r="F305" s="243">
        <v>1421440</v>
      </c>
      <c r="G305" s="243">
        <v>171207</v>
      </c>
      <c r="H305" s="243"/>
      <c r="I305" s="243"/>
      <c r="J305" s="274" t="s">
        <v>777</v>
      </c>
    </row>
    <row r="306" spans="1:10" ht="130.5" customHeight="1" x14ac:dyDescent="0.25">
      <c r="A306" s="169"/>
      <c r="B306" s="158" t="s">
        <v>295</v>
      </c>
      <c r="C306" s="176"/>
      <c r="D306" s="243">
        <v>50800000</v>
      </c>
      <c r="E306" s="243"/>
      <c r="F306" s="243">
        <v>15000000</v>
      </c>
      <c r="G306" s="243"/>
      <c r="H306" s="243"/>
      <c r="I306" s="243"/>
      <c r="J306" s="123" t="s">
        <v>778</v>
      </c>
    </row>
    <row r="307" spans="1:10" ht="15.75" hidden="1" x14ac:dyDescent="0.25">
      <c r="A307" s="169"/>
      <c r="B307" s="158"/>
      <c r="C307" s="176"/>
      <c r="D307" s="243"/>
      <c r="E307" s="243"/>
      <c r="F307" s="243"/>
      <c r="G307" s="243"/>
      <c r="H307" s="243"/>
      <c r="I307" s="243"/>
      <c r="J307" s="123"/>
    </row>
    <row r="308" spans="1:10" ht="76.5" hidden="1" x14ac:dyDescent="0.25">
      <c r="A308" s="169" t="s">
        <v>117</v>
      </c>
      <c r="B308" s="173" t="s">
        <v>137</v>
      </c>
      <c r="C308" s="242">
        <f>SUM(C309)</f>
        <v>0</v>
      </c>
      <c r="D308" s="242">
        <f t="shared" ref="D308:I308" si="108">SUM(D309)</f>
        <v>0</v>
      </c>
      <c r="E308" s="242">
        <f t="shared" si="108"/>
        <v>0</v>
      </c>
      <c r="F308" s="242">
        <f t="shared" si="108"/>
        <v>0</v>
      </c>
      <c r="G308" s="242">
        <f t="shared" si="108"/>
        <v>0</v>
      </c>
      <c r="H308" s="242">
        <f t="shared" si="108"/>
        <v>0</v>
      </c>
      <c r="I308" s="242">
        <f t="shared" si="108"/>
        <v>0</v>
      </c>
      <c r="J308" s="274"/>
    </row>
    <row r="309" spans="1:10" ht="25.5" hidden="1" x14ac:dyDescent="0.25">
      <c r="A309" s="169"/>
      <c r="B309" s="174" t="s">
        <v>34</v>
      </c>
      <c r="C309" s="175">
        <f>C312+C311+C310</f>
        <v>0</v>
      </c>
      <c r="D309" s="175">
        <f t="shared" ref="D309:I309" si="109">D312+D311+D310</f>
        <v>0</v>
      </c>
      <c r="E309" s="175">
        <f t="shared" si="109"/>
        <v>0</v>
      </c>
      <c r="F309" s="175">
        <f t="shared" ref="F309:G309" si="110">F312+F311+F310</f>
        <v>0</v>
      </c>
      <c r="G309" s="175">
        <f t="shared" si="110"/>
        <v>0</v>
      </c>
      <c r="H309" s="175">
        <f t="shared" si="109"/>
        <v>0</v>
      </c>
      <c r="I309" s="175">
        <f t="shared" si="109"/>
        <v>0</v>
      </c>
      <c r="J309" s="274"/>
    </row>
    <row r="310" spans="1:10" ht="15.75" hidden="1" x14ac:dyDescent="0.25">
      <c r="A310" s="169"/>
      <c r="B310" s="158"/>
      <c r="C310" s="176"/>
      <c r="D310" s="176"/>
      <c r="E310" s="176"/>
      <c r="F310" s="176"/>
      <c r="G310" s="176"/>
      <c r="H310" s="176"/>
      <c r="I310" s="176"/>
      <c r="J310" s="212"/>
    </row>
    <row r="311" spans="1:10" ht="15.75" hidden="1" x14ac:dyDescent="0.25">
      <c r="A311" s="169"/>
      <c r="B311" s="158"/>
      <c r="C311" s="176"/>
      <c r="D311" s="176"/>
      <c r="E311" s="176"/>
      <c r="F311" s="176"/>
      <c r="G311" s="176"/>
      <c r="H311" s="176"/>
      <c r="I311" s="176"/>
      <c r="J311" s="212"/>
    </row>
    <row r="312" spans="1:10" ht="15.75" hidden="1" x14ac:dyDescent="0.25">
      <c r="A312" s="169"/>
      <c r="B312" s="216"/>
      <c r="C312" s="176"/>
      <c r="D312" s="176"/>
      <c r="E312" s="176"/>
      <c r="F312" s="176"/>
      <c r="G312" s="176"/>
      <c r="H312" s="176"/>
      <c r="I312" s="176"/>
      <c r="J312" s="212"/>
    </row>
    <row r="313" spans="1:10" ht="77.25" customHeight="1" x14ac:dyDescent="0.25">
      <c r="A313" s="169" t="s">
        <v>196</v>
      </c>
      <c r="B313" s="173" t="s">
        <v>744</v>
      </c>
      <c r="C313" s="240">
        <f>C314</f>
        <v>0</v>
      </c>
      <c r="D313" s="240">
        <f t="shared" ref="D313:I313" si="111">D314</f>
        <v>20692680</v>
      </c>
      <c r="E313" s="240">
        <f t="shared" si="111"/>
        <v>0</v>
      </c>
      <c r="F313" s="240">
        <f t="shared" si="111"/>
        <v>0</v>
      </c>
      <c r="G313" s="240">
        <f t="shared" si="111"/>
        <v>1430800</v>
      </c>
      <c r="H313" s="240">
        <f t="shared" si="111"/>
        <v>12754800</v>
      </c>
      <c r="I313" s="240">
        <f t="shared" si="111"/>
        <v>12754800</v>
      </c>
      <c r="J313" s="274"/>
    </row>
    <row r="314" spans="1:10" ht="56.25" customHeight="1" x14ac:dyDescent="0.25">
      <c r="A314" s="169"/>
      <c r="B314" s="174" t="s">
        <v>164</v>
      </c>
      <c r="C314" s="175">
        <f>SUM(C315:C317)</f>
        <v>0</v>
      </c>
      <c r="D314" s="175">
        <f t="shared" ref="D314:I314" si="112">SUM(D315:D317)</f>
        <v>20692680</v>
      </c>
      <c r="E314" s="175">
        <f t="shared" si="112"/>
        <v>0</v>
      </c>
      <c r="F314" s="175">
        <f t="shared" si="112"/>
        <v>0</v>
      </c>
      <c r="G314" s="175">
        <f t="shared" si="112"/>
        <v>1430800</v>
      </c>
      <c r="H314" s="175">
        <f t="shared" si="112"/>
        <v>12754800</v>
      </c>
      <c r="I314" s="175">
        <f t="shared" si="112"/>
        <v>12754800</v>
      </c>
      <c r="J314" s="199"/>
    </row>
    <row r="315" spans="1:10" ht="51" hidden="1" x14ac:dyDescent="0.25">
      <c r="A315" s="169"/>
      <c r="B315" s="123" t="s">
        <v>280</v>
      </c>
      <c r="C315" s="159"/>
      <c r="D315" s="159"/>
      <c r="E315" s="159"/>
      <c r="F315" s="159"/>
      <c r="G315" s="159"/>
      <c r="H315" s="159">
        <v>1738800</v>
      </c>
      <c r="I315" s="159"/>
      <c r="J315" s="274"/>
    </row>
    <row r="316" spans="1:10" ht="40.5" customHeight="1" x14ac:dyDescent="0.25">
      <c r="A316" s="169"/>
      <c r="B316" s="123" t="s">
        <v>281</v>
      </c>
      <c r="C316" s="159"/>
      <c r="D316" s="159"/>
      <c r="E316" s="159"/>
      <c r="F316" s="159"/>
      <c r="G316" s="159">
        <f>675500+755300</f>
        <v>1430800</v>
      </c>
      <c r="H316" s="159">
        <v>10340500</v>
      </c>
      <c r="I316" s="159">
        <v>12754800</v>
      </c>
      <c r="J316" s="274" t="s">
        <v>687</v>
      </c>
    </row>
    <row r="317" spans="1:10" ht="255" hidden="1" x14ac:dyDescent="0.25">
      <c r="A317" s="169"/>
      <c r="B317" s="123" t="s">
        <v>282</v>
      </c>
      <c r="C317" s="235"/>
      <c r="D317" s="244">
        <v>20692680</v>
      </c>
      <c r="E317" s="235"/>
      <c r="F317" s="235">
        <v>0</v>
      </c>
      <c r="G317" s="235"/>
      <c r="H317" s="244">
        <v>675500</v>
      </c>
      <c r="I317" s="235"/>
      <c r="J317" s="274" t="s">
        <v>311</v>
      </c>
    </row>
    <row r="318" spans="1:10" ht="55.5" customHeight="1" x14ac:dyDescent="0.25">
      <c r="A318" s="169" t="s">
        <v>197</v>
      </c>
      <c r="B318" s="214" t="s">
        <v>745</v>
      </c>
      <c r="C318" s="233">
        <f t="shared" ref="C318:I318" si="113">C319+C326+C336</f>
        <v>66346900</v>
      </c>
      <c r="D318" s="233">
        <f t="shared" si="113"/>
        <v>16999</v>
      </c>
      <c r="E318" s="233">
        <f t="shared" si="113"/>
        <v>50559</v>
      </c>
      <c r="F318" s="233">
        <f t="shared" ref="F318:G318" si="114">F319+F326+F336</f>
        <v>16999</v>
      </c>
      <c r="G318" s="233">
        <f t="shared" si="114"/>
        <v>50559</v>
      </c>
      <c r="H318" s="233">
        <f t="shared" si="113"/>
        <v>27499439</v>
      </c>
      <c r="I318" s="233">
        <f t="shared" si="113"/>
        <v>27499439</v>
      </c>
      <c r="J318" s="156"/>
    </row>
    <row r="319" spans="1:10" ht="51" hidden="1" x14ac:dyDescent="0.25">
      <c r="A319" s="169" t="s">
        <v>198</v>
      </c>
      <c r="B319" s="214" t="s">
        <v>17</v>
      </c>
      <c r="C319" s="233">
        <f t="shared" ref="C319" si="115">C320+C322</f>
        <v>0</v>
      </c>
      <c r="D319" s="233">
        <f t="shared" ref="D319:I319" si="116">D320+D322</f>
        <v>0</v>
      </c>
      <c r="E319" s="233">
        <f t="shared" si="116"/>
        <v>0</v>
      </c>
      <c r="F319" s="233">
        <f t="shared" ref="F319:G319" si="117">F320+F322</f>
        <v>0</v>
      </c>
      <c r="G319" s="233">
        <f t="shared" si="117"/>
        <v>0</v>
      </c>
      <c r="H319" s="233">
        <f t="shared" si="116"/>
        <v>0</v>
      </c>
      <c r="I319" s="233">
        <f t="shared" si="116"/>
        <v>0</v>
      </c>
      <c r="J319" s="156"/>
    </row>
    <row r="320" spans="1:10" ht="38.25" hidden="1" x14ac:dyDescent="0.25">
      <c r="A320" s="169"/>
      <c r="B320" s="174" t="s">
        <v>44</v>
      </c>
      <c r="C320" s="233">
        <f t="shared" ref="C320" si="118">C321</f>
        <v>0</v>
      </c>
      <c r="D320" s="233"/>
      <c r="E320" s="233"/>
      <c r="F320" s="233"/>
      <c r="G320" s="233"/>
      <c r="H320" s="233"/>
      <c r="I320" s="233"/>
      <c r="J320" s="156"/>
    </row>
    <row r="321" spans="1:10" ht="15.75" hidden="1" x14ac:dyDescent="0.25">
      <c r="A321" s="169"/>
      <c r="B321" s="123"/>
      <c r="C321" s="176"/>
      <c r="D321" s="176"/>
      <c r="E321" s="176"/>
      <c r="F321" s="176"/>
      <c r="G321" s="176"/>
      <c r="H321" s="176"/>
      <c r="I321" s="176"/>
      <c r="J321" s="274"/>
    </row>
    <row r="322" spans="1:10" ht="25.5" hidden="1" x14ac:dyDescent="0.25">
      <c r="A322" s="169"/>
      <c r="B322" s="157" t="s">
        <v>148</v>
      </c>
      <c r="C322" s="235">
        <f>C323+C324+C325</f>
        <v>0</v>
      </c>
      <c r="D322" s="235">
        <f t="shared" ref="D322:I322" si="119">D323+D324+D325</f>
        <v>0</v>
      </c>
      <c r="E322" s="235">
        <f t="shared" si="119"/>
        <v>0</v>
      </c>
      <c r="F322" s="235">
        <f t="shared" ref="F322:G322" si="120">F323+F324+F325</f>
        <v>0</v>
      </c>
      <c r="G322" s="235">
        <f t="shared" si="120"/>
        <v>0</v>
      </c>
      <c r="H322" s="235">
        <f t="shared" si="119"/>
        <v>0</v>
      </c>
      <c r="I322" s="235">
        <f t="shared" si="119"/>
        <v>0</v>
      </c>
      <c r="J322" s="156"/>
    </row>
    <row r="323" spans="1:10" ht="15.75" hidden="1" x14ac:dyDescent="0.25">
      <c r="A323" s="169"/>
      <c r="B323" s="274"/>
      <c r="C323" s="235"/>
      <c r="D323" s="176"/>
      <c r="E323" s="176"/>
      <c r="F323" s="176"/>
      <c r="G323" s="176"/>
      <c r="H323" s="235"/>
      <c r="I323" s="235"/>
      <c r="J323" s="123"/>
    </row>
    <row r="324" spans="1:10" ht="15.75" hidden="1" x14ac:dyDescent="0.25">
      <c r="A324" s="169"/>
      <c r="B324" s="274"/>
      <c r="C324" s="245"/>
      <c r="D324" s="176"/>
      <c r="E324" s="176"/>
      <c r="F324" s="176"/>
      <c r="G324" s="176"/>
      <c r="H324" s="176"/>
      <c r="I324" s="176"/>
      <c r="J324" s="156"/>
    </row>
    <row r="325" spans="1:10" ht="15.75" hidden="1" x14ac:dyDescent="0.25">
      <c r="A325" s="169"/>
      <c r="B325" s="123"/>
      <c r="C325" s="176"/>
      <c r="D325" s="176"/>
      <c r="E325" s="176"/>
      <c r="F325" s="176"/>
      <c r="G325" s="176"/>
      <c r="H325" s="176"/>
      <c r="I325" s="176"/>
      <c r="J325" s="156"/>
    </row>
    <row r="326" spans="1:10" ht="54.75" customHeight="1" x14ac:dyDescent="0.25">
      <c r="A326" s="169" t="s">
        <v>18</v>
      </c>
      <c r="B326" s="214" t="s">
        <v>138</v>
      </c>
      <c r="C326" s="233">
        <f>C327</f>
        <v>66346900</v>
      </c>
      <c r="D326" s="233">
        <f t="shared" ref="D326:I326" si="121">D327</f>
        <v>0</v>
      </c>
      <c r="E326" s="233">
        <f t="shared" si="121"/>
        <v>50559</v>
      </c>
      <c r="F326" s="233">
        <f t="shared" si="121"/>
        <v>0</v>
      </c>
      <c r="G326" s="233">
        <f t="shared" si="121"/>
        <v>50559</v>
      </c>
      <c r="H326" s="233">
        <f t="shared" si="121"/>
        <v>27499439</v>
      </c>
      <c r="I326" s="233">
        <f t="shared" si="121"/>
        <v>27499439</v>
      </c>
      <c r="J326" s="179"/>
    </row>
    <row r="327" spans="1:10" ht="27.75" customHeight="1" x14ac:dyDescent="0.25">
      <c r="A327" s="169"/>
      <c r="B327" s="157" t="s">
        <v>148</v>
      </c>
      <c r="C327" s="235">
        <f>SUM(C328:C335)</f>
        <v>66346900</v>
      </c>
      <c r="D327" s="235">
        <f t="shared" ref="D327:I327" si="122">SUM(D328:D335)</f>
        <v>0</v>
      </c>
      <c r="E327" s="235">
        <f t="shared" si="122"/>
        <v>50559</v>
      </c>
      <c r="F327" s="235">
        <f t="shared" si="122"/>
        <v>0</v>
      </c>
      <c r="G327" s="235">
        <f t="shared" si="122"/>
        <v>50559</v>
      </c>
      <c r="H327" s="235">
        <f t="shared" si="122"/>
        <v>27499439</v>
      </c>
      <c r="I327" s="235">
        <f t="shared" si="122"/>
        <v>27499439</v>
      </c>
      <c r="J327" s="179"/>
    </row>
    <row r="328" spans="1:10" ht="42.75" customHeight="1" x14ac:dyDescent="0.25">
      <c r="A328" s="169"/>
      <c r="B328" s="123" t="s">
        <v>236</v>
      </c>
      <c r="C328" s="159">
        <v>66346900</v>
      </c>
      <c r="D328" s="235"/>
      <c r="E328" s="235"/>
      <c r="F328" s="235"/>
      <c r="G328" s="235"/>
      <c r="H328" s="235"/>
      <c r="I328" s="235"/>
      <c r="J328" s="123" t="s">
        <v>779</v>
      </c>
    </row>
    <row r="329" spans="1:10" ht="51" x14ac:dyDescent="0.25">
      <c r="A329" s="236"/>
      <c r="B329" s="123" t="s">
        <v>232</v>
      </c>
      <c r="C329" s="159"/>
      <c r="D329" s="159"/>
      <c r="E329" s="159">
        <v>50000</v>
      </c>
      <c r="F329" s="159"/>
      <c r="G329" s="159">
        <v>50000</v>
      </c>
      <c r="H329" s="159">
        <v>400000</v>
      </c>
      <c r="I329" s="159">
        <v>400000</v>
      </c>
      <c r="J329" s="123" t="s">
        <v>687</v>
      </c>
    </row>
    <row r="330" spans="1:10" ht="15.75" hidden="1" x14ac:dyDescent="0.25">
      <c r="A330" s="236"/>
      <c r="B330" s="123"/>
      <c r="C330" s="159"/>
      <c r="D330" s="159"/>
      <c r="E330" s="159"/>
      <c r="F330" s="159"/>
      <c r="G330" s="159"/>
      <c r="H330" s="159"/>
      <c r="I330" s="159"/>
      <c r="J330" s="123"/>
    </row>
    <row r="331" spans="1:10" ht="15.75" hidden="1" x14ac:dyDescent="0.25">
      <c r="A331" s="169"/>
      <c r="B331" s="123"/>
      <c r="C331" s="159"/>
      <c r="D331" s="159"/>
      <c r="E331" s="159"/>
      <c r="F331" s="159"/>
      <c r="G331" s="159"/>
      <c r="H331" s="159"/>
      <c r="I331" s="159"/>
      <c r="J331" s="123"/>
    </row>
    <row r="332" spans="1:10" ht="15.75" hidden="1" x14ac:dyDescent="0.25">
      <c r="A332" s="169"/>
      <c r="B332" s="212"/>
      <c r="C332" s="159"/>
      <c r="D332" s="159"/>
      <c r="E332" s="159"/>
      <c r="F332" s="159"/>
      <c r="G332" s="159"/>
      <c r="H332" s="159"/>
      <c r="I332" s="159"/>
      <c r="J332" s="123"/>
    </row>
    <row r="333" spans="1:10" ht="38.25" x14ac:dyDescent="0.25">
      <c r="A333" s="169"/>
      <c r="B333" s="274" t="s">
        <v>236</v>
      </c>
      <c r="C333" s="159"/>
      <c r="D333" s="159"/>
      <c r="E333" s="159">
        <v>559</v>
      </c>
      <c r="F333" s="159"/>
      <c r="G333" s="159">
        <v>559</v>
      </c>
      <c r="H333" s="159">
        <v>27099439</v>
      </c>
      <c r="I333" s="159">
        <v>27099439</v>
      </c>
      <c r="J333" s="179" t="s">
        <v>780</v>
      </c>
    </row>
    <row r="334" spans="1:10" ht="15.75" hidden="1" x14ac:dyDescent="0.25">
      <c r="A334" s="169"/>
      <c r="B334" s="123"/>
      <c r="C334" s="159"/>
      <c r="D334" s="159"/>
      <c r="E334" s="159"/>
      <c r="F334" s="159"/>
      <c r="G334" s="159"/>
      <c r="H334" s="159"/>
      <c r="I334" s="159"/>
      <c r="J334" s="123"/>
    </row>
    <row r="335" spans="1:10" ht="15.75" hidden="1" x14ac:dyDescent="0.25">
      <c r="A335" s="169"/>
      <c r="B335" s="274"/>
      <c r="C335" s="159"/>
      <c r="D335" s="159"/>
      <c r="E335" s="159"/>
      <c r="F335" s="159"/>
      <c r="G335" s="159"/>
      <c r="H335" s="159"/>
      <c r="I335" s="159"/>
      <c r="J335" s="274"/>
    </row>
    <row r="336" spans="1:10" ht="51" x14ac:dyDescent="0.25">
      <c r="A336" s="169" t="s">
        <v>199</v>
      </c>
      <c r="B336" s="173" t="s">
        <v>746</v>
      </c>
      <c r="C336" s="240">
        <f t="shared" ref="C336:I336" si="123">C337</f>
        <v>0</v>
      </c>
      <c r="D336" s="240">
        <f t="shared" si="123"/>
        <v>16999</v>
      </c>
      <c r="E336" s="240">
        <f t="shared" si="123"/>
        <v>0</v>
      </c>
      <c r="F336" s="240">
        <f t="shared" si="123"/>
        <v>16999</v>
      </c>
      <c r="G336" s="240">
        <f t="shared" si="123"/>
        <v>0</v>
      </c>
      <c r="H336" s="240">
        <f t="shared" si="123"/>
        <v>0</v>
      </c>
      <c r="I336" s="240">
        <f t="shared" si="123"/>
        <v>0</v>
      </c>
      <c r="J336" s="156"/>
    </row>
    <row r="337" spans="1:10" ht="25.5" x14ac:dyDescent="0.25">
      <c r="A337" s="169"/>
      <c r="B337" s="157" t="s">
        <v>148</v>
      </c>
      <c r="C337" s="235">
        <f>SUM(C338:C341)</f>
        <v>0</v>
      </c>
      <c r="D337" s="235">
        <f t="shared" ref="D337:I337" si="124">SUM(D338:D341)</f>
        <v>16999</v>
      </c>
      <c r="E337" s="235">
        <f t="shared" si="124"/>
        <v>0</v>
      </c>
      <c r="F337" s="235">
        <f t="shared" si="124"/>
        <v>16999</v>
      </c>
      <c r="G337" s="235">
        <f t="shared" si="124"/>
        <v>0</v>
      </c>
      <c r="H337" s="235">
        <f t="shared" si="124"/>
        <v>0</v>
      </c>
      <c r="I337" s="235">
        <f t="shared" si="124"/>
        <v>0</v>
      </c>
      <c r="J337" s="156"/>
    </row>
    <row r="338" spans="1:10" ht="15.75" hidden="1" x14ac:dyDescent="0.25">
      <c r="A338" s="169"/>
      <c r="B338" s="123"/>
      <c r="C338" s="159"/>
      <c r="D338" s="176"/>
      <c r="E338" s="176"/>
      <c r="F338" s="176"/>
      <c r="G338" s="176"/>
      <c r="H338" s="176"/>
      <c r="I338" s="176"/>
      <c r="J338" s="123"/>
    </row>
    <row r="339" spans="1:10" ht="15.75" hidden="1" x14ac:dyDescent="0.25">
      <c r="A339" s="169"/>
      <c r="B339" s="123"/>
      <c r="C339" s="159"/>
      <c r="D339" s="176"/>
      <c r="E339" s="176"/>
      <c r="F339" s="176"/>
      <c r="G339" s="176"/>
      <c r="H339" s="176"/>
      <c r="I339" s="176"/>
      <c r="J339" s="274"/>
    </row>
    <row r="340" spans="1:10" ht="42" customHeight="1" x14ac:dyDescent="0.25">
      <c r="A340" s="169"/>
      <c r="B340" s="274" t="s">
        <v>232</v>
      </c>
      <c r="C340" s="159"/>
      <c r="D340" s="176">
        <v>16999</v>
      </c>
      <c r="E340" s="176"/>
      <c r="F340" s="176">
        <v>16999</v>
      </c>
      <c r="G340" s="176"/>
      <c r="H340" s="176"/>
      <c r="I340" s="176"/>
      <c r="J340" s="274" t="s">
        <v>781</v>
      </c>
    </row>
    <row r="341" spans="1:10" ht="15.75" hidden="1" x14ac:dyDescent="0.25">
      <c r="A341" s="169"/>
      <c r="B341" s="123"/>
      <c r="C341" s="176"/>
      <c r="D341" s="176"/>
      <c r="E341" s="176"/>
      <c r="F341" s="176"/>
      <c r="G341" s="176"/>
      <c r="H341" s="176"/>
      <c r="I341" s="176"/>
      <c r="J341" s="123"/>
    </row>
    <row r="342" spans="1:10" ht="67.5" customHeight="1" x14ac:dyDescent="0.25">
      <c r="A342" s="169" t="s">
        <v>86</v>
      </c>
      <c r="B342" s="214" t="s">
        <v>747</v>
      </c>
      <c r="C342" s="171">
        <f>C343</f>
        <v>0</v>
      </c>
      <c r="D342" s="171">
        <f t="shared" ref="D342:I343" si="125">D343</f>
        <v>0</v>
      </c>
      <c r="E342" s="171">
        <f t="shared" si="125"/>
        <v>4320650</v>
      </c>
      <c r="F342" s="171">
        <f t="shared" si="125"/>
        <v>0</v>
      </c>
      <c r="G342" s="171">
        <f t="shared" si="125"/>
        <v>4320650</v>
      </c>
      <c r="H342" s="171">
        <f t="shared" si="125"/>
        <v>0</v>
      </c>
      <c r="I342" s="171">
        <f t="shared" si="125"/>
        <v>0</v>
      </c>
      <c r="J342" s="123"/>
    </row>
    <row r="343" spans="1:10" ht="69" customHeight="1" x14ac:dyDescent="0.25">
      <c r="A343" s="169" t="s">
        <v>147</v>
      </c>
      <c r="B343" s="173" t="s">
        <v>83</v>
      </c>
      <c r="C343" s="171">
        <f>C344</f>
        <v>0</v>
      </c>
      <c r="D343" s="171">
        <f t="shared" si="125"/>
        <v>0</v>
      </c>
      <c r="E343" s="171">
        <f t="shared" si="125"/>
        <v>4320650</v>
      </c>
      <c r="F343" s="171">
        <f t="shared" si="125"/>
        <v>0</v>
      </c>
      <c r="G343" s="171">
        <f t="shared" si="125"/>
        <v>4320650</v>
      </c>
      <c r="H343" s="171">
        <f t="shared" si="125"/>
        <v>0</v>
      </c>
      <c r="I343" s="171">
        <f t="shared" si="125"/>
        <v>0</v>
      </c>
      <c r="J343" s="274"/>
    </row>
    <row r="344" spans="1:10" ht="29.25" customHeight="1" x14ac:dyDescent="0.25">
      <c r="A344" s="246"/>
      <c r="B344" s="157" t="s">
        <v>148</v>
      </c>
      <c r="C344" s="175">
        <f>SUM(C345:C346)</f>
        <v>0</v>
      </c>
      <c r="D344" s="175">
        <f t="shared" ref="D344:I344" si="126">SUM(D345:D346)</f>
        <v>0</v>
      </c>
      <c r="E344" s="175">
        <f t="shared" si="126"/>
        <v>4320650</v>
      </c>
      <c r="F344" s="175">
        <f t="shared" si="126"/>
        <v>0</v>
      </c>
      <c r="G344" s="175">
        <f t="shared" si="126"/>
        <v>4320650</v>
      </c>
      <c r="H344" s="175">
        <f t="shared" si="126"/>
        <v>0</v>
      </c>
      <c r="I344" s="175">
        <f t="shared" si="126"/>
        <v>0</v>
      </c>
      <c r="J344" s="274"/>
    </row>
    <row r="345" spans="1:10" ht="31.5" customHeight="1" x14ac:dyDescent="0.25">
      <c r="A345" s="246"/>
      <c r="B345" s="274" t="s">
        <v>241</v>
      </c>
      <c r="C345" s="175"/>
      <c r="D345" s="176"/>
      <c r="E345" s="176">
        <v>2797043</v>
      </c>
      <c r="F345" s="176"/>
      <c r="G345" s="176">
        <v>2797043</v>
      </c>
      <c r="H345" s="175"/>
      <c r="I345" s="175"/>
      <c r="J345" s="123" t="s">
        <v>782</v>
      </c>
    </row>
    <row r="346" spans="1:10" ht="40.5" customHeight="1" x14ac:dyDescent="0.25">
      <c r="A346" s="246"/>
      <c r="B346" s="123" t="s">
        <v>232</v>
      </c>
      <c r="C346" s="175"/>
      <c r="D346" s="176"/>
      <c r="E346" s="176">
        <v>1523607</v>
      </c>
      <c r="F346" s="176"/>
      <c r="G346" s="176">
        <v>1523607</v>
      </c>
      <c r="H346" s="175"/>
      <c r="I346" s="175"/>
      <c r="J346" s="274" t="s">
        <v>783</v>
      </c>
    </row>
    <row r="347" spans="1:10" ht="51" hidden="1" x14ac:dyDescent="0.25">
      <c r="A347" s="169" t="s">
        <v>200</v>
      </c>
      <c r="B347" s="214" t="s">
        <v>84</v>
      </c>
      <c r="C347" s="171">
        <f>C348+C354</f>
        <v>0</v>
      </c>
      <c r="D347" s="171">
        <f t="shared" ref="D347:I347" si="127">D348+D354</f>
        <v>0</v>
      </c>
      <c r="E347" s="171">
        <f t="shared" si="127"/>
        <v>0</v>
      </c>
      <c r="F347" s="171">
        <f t="shared" ref="F347:G347" si="128">F348+F354</f>
        <v>0</v>
      </c>
      <c r="G347" s="171">
        <f t="shared" si="128"/>
        <v>0</v>
      </c>
      <c r="H347" s="171">
        <f t="shared" si="127"/>
        <v>0</v>
      </c>
      <c r="I347" s="171">
        <f t="shared" si="127"/>
        <v>65000</v>
      </c>
      <c r="J347" s="226"/>
    </row>
    <row r="348" spans="1:10" ht="51" hidden="1" x14ac:dyDescent="0.25">
      <c r="A348" s="169" t="s">
        <v>65</v>
      </c>
      <c r="B348" s="198" t="s">
        <v>38</v>
      </c>
      <c r="C348" s="171">
        <f>C349+C351</f>
        <v>0</v>
      </c>
      <c r="D348" s="171">
        <f t="shared" ref="D348:I348" si="129">D349+D351</f>
        <v>0</v>
      </c>
      <c r="E348" s="171">
        <f t="shared" si="129"/>
        <v>0</v>
      </c>
      <c r="F348" s="171">
        <f t="shared" ref="F348:G348" si="130">F349+F351</f>
        <v>0</v>
      </c>
      <c r="G348" s="171">
        <f t="shared" si="130"/>
        <v>0</v>
      </c>
      <c r="H348" s="171">
        <f t="shared" si="129"/>
        <v>0</v>
      </c>
      <c r="I348" s="171">
        <f t="shared" si="129"/>
        <v>65000</v>
      </c>
      <c r="J348" s="274"/>
    </row>
    <row r="349" spans="1:10" ht="15.75" hidden="1" x14ac:dyDescent="0.25">
      <c r="A349" s="169"/>
      <c r="B349" s="200" t="s">
        <v>36</v>
      </c>
      <c r="C349" s="175">
        <f>C350</f>
        <v>0</v>
      </c>
      <c r="D349" s="175">
        <f t="shared" ref="D349:I349" si="131">D350</f>
        <v>0</v>
      </c>
      <c r="E349" s="175">
        <f t="shared" si="131"/>
        <v>0</v>
      </c>
      <c r="F349" s="175">
        <f t="shared" si="131"/>
        <v>0</v>
      </c>
      <c r="G349" s="175">
        <f t="shared" si="131"/>
        <v>0</v>
      </c>
      <c r="H349" s="175">
        <f t="shared" si="131"/>
        <v>0</v>
      </c>
      <c r="I349" s="175">
        <f t="shared" si="131"/>
        <v>0</v>
      </c>
      <c r="J349" s="274"/>
    </row>
    <row r="350" spans="1:10" ht="15.75" hidden="1" x14ac:dyDescent="0.25">
      <c r="A350" s="169"/>
      <c r="B350" s="123"/>
      <c r="C350" s="176"/>
      <c r="D350" s="176"/>
      <c r="E350" s="176"/>
      <c r="F350" s="176"/>
      <c r="G350" s="176"/>
      <c r="H350" s="176"/>
      <c r="I350" s="176"/>
      <c r="J350" s="123"/>
    </row>
    <row r="351" spans="1:10" ht="25.5" hidden="1" x14ac:dyDescent="0.25">
      <c r="A351" s="169"/>
      <c r="B351" s="200" t="s">
        <v>81</v>
      </c>
      <c r="C351" s="175">
        <f>C353+C352</f>
        <v>0</v>
      </c>
      <c r="D351" s="175">
        <f t="shared" ref="D351:I351" si="132">D353+D352</f>
        <v>0</v>
      </c>
      <c r="E351" s="175">
        <f t="shared" si="132"/>
        <v>0</v>
      </c>
      <c r="F351" s="175">
        <f t="shared" ref="F351:G351" si="133">F353+F352</f>
        <v>0</v>
      </c>
      <c r="G351" s="175">
        <f t="shared" si="133"/>
        <v>0</v>
      </c>
      <c r="H351" s="175">
        <f t="shared" si="132"/>
        <v>0</v>
      </c>
      <c r="I351" s="175">
        <f t="shared" si="132"/>
        <v>65000</v>
      </c>
      <c r="J351" s="274"/>
    </row>
    <row r="352" spans="1:10" ht="15.75" hidden="1" x14ac:dyDescent="0.25">
      <c r="A352" s="169"/>
      <c r="B352" s="200"/>
      <c r="C352" s="176"/>
      <c r="D352" s="176"/>
      <c r="E352" s="176"/>
      <c r="F352" s="176"/>
      <c r="G352" s="176"/>
      <c r="H352" s="176"/>
      <c r="I352" s="176">
        <v>65000</v>
      </c>
      <c r="J352" s="123"/>
    </row>
    <row r="353" spans="1:10" ht="15.75" hidden="1" x14ac:dyDescent="0.25">
      <c r="A353" s="169"/>
      <c r="B353" s="123"/>
      <c r="C353" s="176"/>
      <c r="D353" s="176"/>
      <c r="E353" s="176"/>
      <c r="F353" s="176"/>
      <c r="G353" s="176"/>
      <c r="H353" s="176"/>
      <c r="I353" s="176"/>
      <c r="J353" s="274"/>
    </row>
    <row r="354" spans="1:10" ht="38.25" hidden="1" x14ac:dyDescent="0.25">
      <c r="A354" s="169" t="s">
        <v>111</v>
      </c>
      <c r="B354" s="173" t="s">
        <v>112</v>
      </c>
      <c r="C354" s="171">
        <f t="shared" ref="C354:I355" si="134">C355</f>
        <v>0</v>
      </c>
      <c r="D354" s="171">
        <f t="shared" si="134"/>
        <v>0</v>
      </c>
      <c r="E354" s="171">
        <f t="shared" si="134"/>
        <v>0</v>
      </c>
      <c r="F354" s="171">
        <f t="shared" si="134"/>
        <v>0</v>
      </c>
      <c r="G354" s="171">
        <f t="shared" si="134"/>
        <v>0</v>
      </c>
      <c r="H354" s="171">
        <f t="shared" si="134"/>
        <v>0</v>
      </c>
      <c r="I354" s="171">
        <f t="shared" si="134"/>
        <v>0</v>
      </c>
      <c r="J354" s="274"/>
    </row>
    <row r="355" spans="1:10" ht="25.5" hidden="1" x14ac:dyDescent="0.25">
      <c r="A355" s="169"/>
      <c r="B355" s="174" t="s">
        <v>81</v>
      </c>
      <c r="C355" s="175">
        <f t="shared" si="134"/>
        <v>0</v>
      </c>
      <c r="D355" s="175">
        <f t="shared" si="134"/>
        <v>0</v>
      </c>
      <c r="E355" s="175">
        <f t="shared" si="134"/>
        <v>0</v>
      </c>
      <c r="F355" s="175">
        <f t="shared" si="134"/>
        <v>0</v>
      </c>
      <c r="G355" s="175">
        <f t="shared" si="134"/>
        <v>0</v>
      </c>
      <c r="H355" s="175">
        <f t="shared" si="134"/>
        <v>0</v>
      </c>
      <c r="I355" s="175">
        <f t="shared" si="134"/>
        <v>0</v>
      </c>
      <c r="J355" s="274"/>
    </row>
    <row r="356" spans="1:10" ht="15.75" hidden="1" x14ac:dyDescent="0.25">
      <c r="A356" s="169"/>
      <c r="B356" s="123"/>
      <c r="C356" s="176"/>
      <c r="D356" s="176"/>
      <c r="E356" s="176"/>
      <c r="F356" s="176"/>
      <c r="G356" s="176"/>
      <c r="H356" s="176"/>
      <c r="I356" s="176"/>
      <c r="J356" s="274"/>
    </row>
    <row r="357" spans="1:10" ht="42.75" customHeight="1" x14ac:dyDescent="0.25">
      <c r="A357" s="169" t="s">
        <v>85</v>
      </c>
      <c r="B357" s="173" t="s">
        <v>37</v>
      </c>
      <c r="C357" s="171">
        <f t="shared" ref="C357:I357" si="135">C358+C368</f>
        <v>0</v>
      </c>
      <c r="D357" s="171">
        <f t="shared" si="135"/>
        <v>14764959</v>
      </c>
      <c r="E357" s="171">
        <f t="shared" si="135"/>
        <v>0</v>
      </c>
      <c r="F357" s="171">
        <f t="shared" si="135"/>
        <v>14083259</v>
      </c>
      <c r="G357" s="171">
        <f t="shared" si="135"/>
        <v>0</v>
      </c>
      <c r="H357" s="171">
        <f t="shared" si="135"/>
        <v>8681283</v>
      </c>
      <c r="I357" s="171">
        <f t="shared" si="135"/>
        <v>26681283</v>
      </c>
      <c r="J357" s="199"/>
    </row>
    <row r="358" spans="1:10" ht="53.25" customHeight="1" x14ac:dyDescent="0.25">
      <c r="A358" s="169" t="s">
        <v>201</v>
      </c>
      <c r="B358" s="173" t="s">
        <v>748</v>
      </c>
      <c r="C358" s="171">
        <f>C359</f>
        <v>0</v>
      </c>
      <c r="D358" s="171">
        <f t="shared" ref="D358:I358" si="136">D359</f>
        <v>14764959</v>
      </c>
      <c r="E358" s="171">
        <f t="shared" si="136"/>
        <v>0</v>
      </c>
      <c r="F358" s="171">
        <f t="shared" si="136"/>
        <v>14083259</v>
      </c>
      <c r="G358" s="171">
        <f t="shared" si="136"/>
        <v>0</v>
      </c>
      <c r="H358" s="171">
        <f t="shared" si="136"/>
        <v>615750</v>
      </c>
      <c r="I358" s="171">
        <f t="shared" si="136"/>
        <v>24315750</v>
      </c>
      <c r="J358" s="123"/>
    </row>
    <row r="359" spans="1:10" ht="27.75" customHeight="1" x14ac:dyDescent="0.25">
      <c r="A359" s="169"/>
      <c r="B359" s="200" t="s">
        <v>35</v>
      </c>
      <c r="C359" s="175">
        <f>SUM(C360:C367)</f>
        <v>0</v>
      </c>
      <c r="D359" s="175">
        <f t="shared" ref="D359:I359" si="137">SUM(D360:D367)</f>
        <v>14764959</v>
      </c>
      <c r="E359" s="175">
        <f t="shared" si="137"/>
        <v>0</v>
      </c>
      <c r="F359" s="175">
        <f t="shared" si="137"/>
        <v>14083259</v>
      </c>
      <c r="G359" s="175">
        <f t="shared" si="137"/>
        <v>0</v>
      </c>
      <c r="H359" s="175">
        <f t="shared" si="137"/>
        <v>615750</v>
      </c>
      <c r="I359" s="175">
        <f t="shared" si="137"/>
        <v>24315750</v>
      </c>
      <c r="J359" s="123"/>
    </row>
    <row r="360" spans="1:10" ht="15.75" hidden="1" x14ac:dyDescent="0.25">
      <c r="A360" s="169"/>
      <c r="B360" s="226"/>
      <c r="C360" s="176"/>
      <c r="D360" s="176"/>
      <c r="E360" s="176"/>
      <c r="F360" s="176"/>
      <c r="G360" s="176"/>
      <c r="H360" s="176"/>
      <c r="I360" s="176">
        <v>5700000</v>
      </c>
      <c r="J360" s="123"/>
    </row>
    <row r="361" spans="1:10" ht="15.75" hidden="1" x14ac:dyDescent="0.25">
      <c r="A361" s="169"/>
      <c r="B361" s="216"/>
      <c r="C361" s="176"/>
      <c r="D361" s="176"/>
      <c r="E361" s="176"/>
      <c r="F361" s="176"/>
      <c r="G361" s="176"/>
      <c r="H361" s="176"/>
      <c r="I361" s="176">
        <v>18000000</v>
      </c>
      <c r="J361" s="123"/>
    </row>
    <row r="362" spans="1:10" ht="38.25" x14ac:dyDescent="0.25">
      <c r="A362" s="169"/>
      <c r="B362" s="226"/>
      <c r="C362" s="176"/>
      <c r="D362" s="176">
        <v>11747500</v>
      </c>
      <c r="E362" s="176"/>
      <c r="F362" s="176">
        <v>11300000</v>
      </c>
      <c r="G362" s="176"/>
      <c r="H362" s="176"/>
      <c r="I362" s="176"/>
      <c r="J362" s="123" t="s">
        <v>656</v>
      </c>
    </row>
    <row r="363" spans="1:10" ht="42" customHeight="1" x14ac:dyDescent="0.25">
      <c r="A363" s="169"/>
      <c r="B363" s="216"/>
      <c r="C363" s="176"/>
      <c r="D363" s="176">
        <f>162500+49075</f>
        <v>211575</v>
      </c>
      <c r="E363" s="176"/>
      <c r="F363" s="176">
        <v>211575</v>
      </c>
      <c r="G363" s="176"/>
      <c r="H363" s="175"/>
      <c r="I363" s="175"/>
      <c r="J363" s="123" t="s">
        <v>657</v>
      </c>
    </row>
    <row r="364" spans="1:10" ht="93" customHeight="1" x14ac:dyDescent="0.25">
      <c r="A364" s="169"/>
      <c r="B364" s="216"/>
      <c r="C364" s="176"/>
      <c r="D364" s="176">
        <v>2571684</v>
      </c>
      <c r="E364" s="176"/>
      <c r="F364" s="176">
        <v>2571684</v>
      </c>
      <c r="G364" s="176"/>
      <c r="H364" s="175"/>
      <c r="I364" s="175"/>
      <c r="J364" s="123" t="s">
        <v>784</v>
      </c>
    </row>
    <row r="365" spans="1:10" ht="15.75" hidden="1" x14ac:dyDescent="0.25">
      <c r="A365" s="169"/>
      <c r="B365" s="216"/>
      <c r="C365" s="176"/>
      <c r="D365" s="176"/>
      <c r="E365" s="176"/>
      <c r="F365" s="176"/>
      <c r="G365" s="176"/>
      <c r="H365" s="176">
        <v>615750</v>
      </c>
      <c r="I365" s="176">
        <v>615750</v>
      </c>
      <c r="J365" s="123"/>
    </row>
    <row r="366" spans="1:10" ht="15.75" hidden="1" x14ac:dyDescent="0.25">
      <c r="A366" s="169"/>
      <c r="B366" s="216"/>
      <c r="C366" s="176"/>
      <c r="D366" s="176">
        <v>234200</v>
      </c>
      <c r="E366" s="176"/>
      <c r="F366" s="176"/>
      <c r="G366" s="176"/>
      <c r="H366" s="175"/>
      <c r="I366" s="175"/>
      <c r="J366" s="123"/>
    </row>
    <row r="367" spans="1:10" ht="15.75" hidden="1" x14ac:dyDescent="0.25">
      <c r="A367" s="169"/>
      <c r="B367" s="216"/>
      <c r="C367" s="176"/>
      <c r="D367" s="176"/>
      <c r="E367" s="176"/>
      <c r="F367" s="176"/>
      <c r="G367" s="176"/>
      <c r="H367" s="175"/>
      <c r="I367" s="175"/>
      <c r="J367" s="173"/>
    </row>
    <row r="368" spans="1:10" ht="38.25" hidden="1" x14ac:dyDescent="0.25">
      <c r="A368" s="169" t="s">
        <v>202</v>
      </c>
      <c r="B368" s="247" t="s">
        <v>66</v>
      </c>
      <c r="C368" s="171">
        <f>C369</f>
        <v>0</v>
      </c>
      <c r="D368" s="171">
        <f t="shared" ref="D368:I368" si="138">D369</f>
        <v>0</v>
      </c>
      <c r="E368" s="171">
        <f t="shared" si="138"/>
        <v>0</v>
      </c>
      <c r="F368" s="171">
        <f t="shared" si="138"/>
        <v>0</v>
      </c>
      <c r="G368" s="171">
        <f t="shared" si="138"/>
        <v>0</v>
      </c>
      <c r="H368" s="171">
        <f t="shared" si="138"/>
        <v>8065533</v>
      </c>
      <c r="I368" s="171">
        <f t="shared" si="138"/>
        <v>2365533</v>
      </c>
      <c r="J368" s="248"/>
    </row>
    <row r="369" spans="1:10" ht="25.5" hidden="1" x14ac:dyDescent="0.25">
      <c r="A369" s="169"/>
      <c r="B369" s="200" t="s">
        <v>35</v>
      </c>
      <c r="C369" s="175">
        <f>SUM(C370:C374)</f>
        <v>0</v>
      </c>
      <c r="D369" s="175">
        <f t="shared" ref="D369:I369" si="139">SUM(D370:D374)</f>
        <v>0</v>
      </c>
      <c r="E369" s="175">
        <f t="shared" si="139"/>
        <v>0</v>
      </c>
      <c r="F369" s="175">
        <f t="shared" si="139"/>
        <v>0</v>
      </c>
      <c r="G369" s="175">
        <f t="shared" si="139"/>
        <v>0</v>
      </c>
      <c r="H369" s="175">
        <f t="shared" si="139"/>
        <v>8065533</v>
      </c>
      <c r="I369" s="175">
        <f t="shared" si="139"/>
        <v>2365533</v>
      </c>
      <c r="J369" s="199"/>
    </row>
    <row r="370" spans="1:10" ht="15.75" hidden="1" x14ac:dyDescent="0.25">
      <c r="A370" s="169"/>
      <c r="B370" s="200"/>
      <c r="C370" s="175"/>
      <c r="D370" s="175"/>
      <c r="E370" s="175"/>
      <c r="F370" s="175"/>
      <c r="G370" s="175"/>
      <c r="H370" s="176">
        <v>2365533</v>
      </c>
      <c r="I370" s="176">
        <v>2365533</v>
      </c>
      <c r="J370" s="274"/>
    </row>
    <row r="371" spans="1:10" ht="15.75" hidden="1" x14ac:dyDescent="0.25">
      <c r="A371" s="169"/>
      <c r="B371" s="200"/>
      <c r="C371" s="175"/>
      <c r="D371" s="175"/>
      <c r="E371" s="175"/>
      <c r="F371" s="175"/>
      <c r="G371" s="175"/>
      <c r="H371" s="176"/>
      <c r="I371" s="176"/>
      <c r="J371" s="274"/>
    </row>
    <row r="372" spans="1:10" ht="15.75" hidden="1" x14ac:dyDescent="0.25">
      <c r="A372" s="169"/>
      <c r="B372" s="200"/>
      <c r="C372" s="175"/>
      <c r="D372" s="175"/>
      <c r="E372" s="175"/>
      <c r="F372" s="175"/>
      <c r="G372" s="175"/>
      <c r="H372" s="176">
        <v>5700000</v>
      </c>
      <c r="I372" s="176"/>
      <c r="J372" s="274"/>
    </row>
    <row r="373" spans="1:10" ht="15.75" hidden="1" x14ac:dyDescent="0.25">
      <c r="A373" s="169"/>
      <c r="B373" s="200"/>
      <c r="C373" s="175"/>
      <c r="D373" s="175"/>
      <c r="E373" s="175"/>
      <c r="F373" s="175"/>
      <c r="G373" s="175"/>
      <c r="H373" s="175"/>
      <c r="I373" s="175"/>
      <c r="J373" s="219"/>
    </row>
    <row r="374" spans="1:10" ht="15.75" hidden="1" x14ac:dyDescent="0.25">
      <c r="A374" s="169"/>
      <c r="B374" s="200"/>
      <c r="C374" s="175"/>
      <c r="D374" s="175"/>
      <c r="E374" s="175"/>
      <c r="F374" s="175"/>
      <c r="G374" s="175"/>
      <c r="H374" s="175"/>
      <c r="I374" s="175"/>
      <c r="J374" s="249"/>
    </row>
    <row r="375" spans="1:10" ht="51" x14ac:dyDescent="0.25">
      <c r="A375" s="169" t="s">
        <v>203</v>
      </c>
      <c r="B375" s="214" t="s">
        <v>77</v>
      </c>
      <c r="C375" s="171">
        <f t="shared" ref="C375:I375" si="140">C376+C384+C388+C392+C406</f>
        <v>0</v>
      </c>
      <c r="D375" s="171">
        <f t="shared" si="140"/>
        <v>588922097</v>
      </c>
      <c r="E375" s="171">
        <f t="shared" si="140"/>
        <v>0</v>
      </c>
      <c r="F375" s="171">
        <f t="shared" si="140"/>
        <v>301082415</v>
      </c>
      <c r="G375" s="171">
        <f t="shared" si="140"/>
        <v>2275800</v>
      </c>
      <c r="H375" s="171">
        <f t="shared" si="140"/>
        <v>0</v>
      </c>
      <c r="I375" s="171">
        <f t="shared" si="140"/>
        <v>0</v>
      </c>
      <c r="J375" s="123"/>
    </row>
    <row r="376" spans="1:10" ht="51" hidden="1" x14ac:dyDescent="0.25">
      <c r="A376" s="169" t="s">
        <v>204</v>
      </c>
      <c r="B376" s="214" t="s">
        <v>107</v>
      </c>
      <c r="C376" s="171">
        <f t="shared" ref="C376:H376" si="141">C377</f>
        <v>0</v>
      </c>
      <c r="D376" s="171">
        <f t="shared" si="141"/>
        <v>0</v>
      </c>
      <c r="E376" s="171">
        <f>E377</f>
        <v>0</v>
      </c>
      <c r="F376" s="171">
        <f t="shared" si="141"/>
        <v>0</v>
      </c>
      <c r="G376" s="171">
        <f>G377</f>
        <v>0</v>
      </c>
      <c r="H376" s="171">
        <f t="shared" si="141"/>
        <v>0</v>
      </c>
      <c r="I376" s="171">
        <f>I377</f>
        <v>0</v>
      </c>
      <c r="J376" s="123"/>
    </row>
    <row r="377" spans="1:10" ht="25.5" hidden="1" x14ac:dyDescent="0.25">
      <c r="A377" s="169"/>
      <c r="B377" s="229" t="s">
        <v>243</v>
      </c>
      <c r="C377" s="175">
        <f t="shared" ref="C377:I377" si="142">SUM(C378:C383)</f>
        <v>0</v>
      </c>
      <c r="D377" s="176">
        <f t="shared" si="142"/>
        <v>0</v>
      </c>
      <c r="E377" s="175">
        <f t="shared" si="142"/>
        <v>0</v>
      </c>
      <c r="F377" s="176">
        <f t="shared" si="142"/>
        <v>0</v>
      </c>
      <c r="G377" s="175">
        <f t="shared" si="142"/>
        <v>0</v>
      </c>
      <c r="H377" s="175">
        <f t="shared" si="142"/>
        <v>0</v>
      </c>
      <c r="I377" s="175">
        <f t="shared" si="142"/>
        <v>0</v>
      </c>
      <c r="J377" s="123"/>
    </row>
    <row r="378" spans="1:10" ht="15.75" hidden="1" x14ac:dyDescent="0.25">
      <c r="A378" s="169"/>
      <c r="B378" s="123"/>
      <c r="C378" s="175"/>
      <c r="D378" s="176"/>
      <c r="E378" s="175"/>
      <c r="F378" s="176"/>
      <c r="G378" s="175"/>
      <c r="H378" s="175"/>
      <c r="I378" s="175"/>
      <c r="J378" s="123"/>
    </row>
    <row r="379" spans="1:10" ht="15.75" hidden="1" x14ac:dyDescent="0.25">
      <c r="A379" s="169"/>
      <c r="B379" s="123"/>
      <c r="C379" s="175"/>
      <c r="D379" s="176"/>
      <c r="E379" s="175"/>
      <c r="F379" s="176"/>
      <c r="G379" s="175"/>
      <c r="H379" s="175"/>
      <c r="I379" s="175"/>
      <c r="J379" s="123"/>
    </row>
    <row r="380" spans="1:10" ht="88.5" hidden="1" customHeight="1" x14ac:dyDescent="0.25">
      <c r="A380" s="169"/>
      <c r="B380" s="123"/>
      <c r="C380" s="175"/>
      <c r="D380" s="176"/>
      <c r="E380" s="176"/>
      <c r="F380" s="176"/>
      <c r="G380" s="176"/>
      <c r="H380" s="176"/>
      <c r="I380" s="175"/>
      <c r="J380" s="123"/>
    </row>
    <row r="381" spans="1:10" ht="39.75" hidden="1" customHeight="1" x14ac:dyDescent="0.25">
      <c r="A381" s="169"/>
      <c r="B381" s="123"/>
      <c r="C381" s="175"/>
      <c r="D381" s="176"/>
      <c r="E381" s="176"/>
      <c r="F381" s="176"/>
      <c r="G381" s="176"/>
      <c r="H381" s="176"/>
      <c r="I381" s="175"/>
      <c r="J381" s="123"/>
    </row>
    <row r="382" spans="1:10" ht="15.75" hidden="1" x14ac:dyDescent="0.25">
      <c r="A382" s="169"/>
      <c r="B382" s="123"/>
      <c r="C382" s="176"/>
      <c r="D382" s="176"/>
      <c r="E382" s="176"/>
      <c r="F382" s="176"/>
      <c r="G382" s="176"/>
      <c r="H382" s="176"/>
      <c r="I382" s="176"/>
      <c r="J382" s="123"/>
    </row>
    <row r="383" spans="1:10" ht="15.75" hidden="1" x14ac:dyDescent="0.25">
      <c r="A383" s="169"/>
      <c r="B383" s="123"/>
      <c r="C383" s="176"/>
      <c r="D383" s="176"/>
      <c r="E383" s="176"/>
      <c r="F383" s="176"/>
      <c r="G383" s="176"/>
      <c r="H383" s="176"/>
      <c r="I383" s="176"/>
      <c r="J383" s="173"/>
    </row>
    <row r="384" spans="1:10" ht="38.25" hidden="1" x14ac:dyDescent="0.25">
      <c r="A384" s="169" t="s">
        <v>128</v>
      </c>
      <c r="B384" s="214" t="s">
        <v>129</v>
      </c>
      <c r="C384" s="171">
        <f t="shared" ref="C384:I384" si="143">C385</f>
        <v>0</v>
      </c>
      <c r="D384" s="171">
        <f t="shared" si="143"/>
        <v>0</v>
      </c>
      <c r="E384" s="171">
        <f t="shared" si="143"/>
        <v>0</v>
      </c>
      <c r="F384" s="171">
        <f t="shared" si="143"/>
        <v>0</v>
      </c>
      <c r="G384" s="171">
        <f t="shared" si="143"/>
        <v>0</v>
      </c>
      <c r="H384" s="171">
        <f t="shared" si="143"/>
        <v>0</v>
      </c>
      <c r="I384" s="171">
        <f t="shared" si="143"/>
        <v>0</v>
      </c>
      <c r="J384" s="274"/>
    </row>
    <row r="385" spans="1:10" ht="25.5" hidden="1" x14ac:dyDescent="0.25">
      <c r="A385" s="169"/>
      <c r="B385" s="229" t="s">
        <v>243</v>
      </c>
      <c r="C385" s="175">
        <f>SUM(C386:C387)</f>
        <v>0</v>
      </c>
      <c r="D385" s="175">
        <f t="shared" ref="D385:I385" si="144">SUM(D386:D387)</f>
        <v>0</v>
      </c>
      <c r="E385" s="175">
        <f t="shared" si="144"/>
        <v>0</v>
      </c>
      <c r="F385" s="175">
        <f t="shared" ref="F385:G385" si="145">SUM(F386:F387)</f>
        <v>0</v>
      </c>
      <c r="G385" s="175">
        <f t="shared" si="145"/>
        <v>0</v>
      </c>
      <c r="H385" s="175">
        <f t="shared" si="144"/>
        <v>0</v>
      </c>
      <c r="I385" s="175">
        <f t="shared" si="144"/>
        <v>0</v>
      </c>
      <c r="J385" s="123"/>
    </row>
    <row r="386" spans="1:10" ht="15.75" hidden="1" x14ac:dyDescent="0.25">
      <c r="A386" s="169"/>
      <c r="B386" s="123"/>
      <c r="C386" s="176"/>
      <c r="D386" s="176"/>
      <c r="E386" s="176"/>
      <c r="F386" s="176"/>
      <c r="G386" s="176"/>
      <c r="H386" s="176"/>
      <c r="I386" s="176"/>
      <c r="J386" s="123"/>
    </row>
    <row r="387" spans="1:10" ht="15.75" hidden="1" x14ac:dyDescent="0.25">
      <c r="A387" s="169"/>
      <c r="B387" s="123"/>
      <c r="C387" s="176"/>
      <c r="D387" s="176"/>
      <c r="E387" s="176"/>
      <c r="F387" s="176"/>
      <c r="G387" s="176"/>
      <c r="H387" s="176"/>
      <c r="I387" s="176"/>
      <c r="J387" s="173"/>
    </row>
    <row r="388" spans="1:10" ht="42" customHeight="1" x14ac:dyDescent="0.25">
      <c r="A388" s="169" t="s">
        <v>726</v>
      </c>
      <c r="B388" s="173" t="s">
        <v>100</v>
      </c>
      <c r="C388" s="171">
        <f>C389</f>
        <v>0</v>
      </c>
      <c r="D388" s="171">
        <f t="shared" ref="D388:I388" si="146">D389</f>
        <v>0</v>
      </c>
      <c r="E388" s="171">
        <f t="shared" si="146"/>
        <v>0</v>
      </c>
      <c r="F388" s="171">
        <f t="shared" si="146"/>
        <v>20000000</v>
      </c>
      <c r="G388" s="171">
        <f t="shared" si="146"/>
        <v>0</v>
      </c>
      <c r="H388" s="171">
        <f t="shared" si="146"/>
        <v>0</v>
      </c>
      <c r="I388" s="171">
        <f t="shared" si="146"/>
        <v>0</v>
      </c>
      <c r="J388" s="123"/>
    </row>
    <row r="389" spans="1:10" ht="38.25" x14ac:dyDescent="0.25">
      <c r="A389" s="169"/>
      <c r="B389" s="229" t="s">
        <v>44</v>
      </c>
      <c r="C389" s="175">
        <f>C391+C390</f>
        <v>0</v>
      </c>
      <c r="D389" s="175">
        <f t="shared" ref="D389:I389" si="147">D391+D390</f>
        <v>0</v>
      </c>
      <c r="E389" s="175">
        <f t="shared" si="147"/>
        <v>0</v>
      </c>
      <c r="F389" s="175">
        <f t="shared" ref="F389:G389" si="148">F391+F390</f>
        <v>20000000</v>
      </c>
      <c r="G389" s="175">
        <f t="shared" si="148"/>
        <v>0</v>
      </c>
      <c r="H389" s="175">
        <f t="shared" si="147"/>
        <v>0</v>
      </c>
      <c r="I389" s="175">
        <f t="shared" si="147"/>
        <v>0</v>
      </c>
      <c r="J389" s="123"/>
    </row>
    <row r="390" spans="1:10" ht="42" customHeight="1" x14ac:dyDescent="0.25">
      <c r="A390" s="169"/>
      <c r="B390" s="123" t="s">
        <v>642</v>
      </c>
      <c r="C390" s="175"/>
      <c r="D390" s="175"/>
      <c r="E390" s="175"/>
      <c r="F390" s="176">
        <v>20000000</v>
      </c>
      <c r="G390" s="175"/>
      <c r="H390" s="175"/>
      <c r="I390" s="176"/>
      <c r="J390" s="123" t="s">
        <v>642</v>
      </c>
    </row>
    <row r="391" spans="1:10" ht="15.75" hidden="1" x14ac:dyDescent="0.25">
      <c r="A391" s="169"/>
      <c r="B391" s="123"/>
      <c r="C391" s="171"/>
      <c r="D391" s="176"/>
      <c r="E391" s="171"/>
      <c r="F391" s="176"/>
      <c r="G391" s="171"/>
      <c r="H391" s="171"/>
      <c r="I391" s="171"/>
      <c r="J391" s="123"/>
    </row>
    <row r="392" spans="1:10" ht="54" customHeight="1" x14ac:dyDescent="0.25">
      <c r="A392" s="169" t="s">
        <v>205</v>
      </c>
      <c r="B392" s="214" t="s">
        <v>126</v>
      </c>
      <c r="C392" s="171">
        <f t="shared" ref="C392:I392" si="149">C393</f>
        <v>0</v>
      </c>
      <c r="D392" s="171">
        <f>D393</f>
        <v>588922097</v>
      </c>
      <c r="E392" s="171">
        <f t="shared" si="149"/>
        <v>0</v>
      </c>
      <c r="F392" s="171">
        <f>F393</f>
        <v>281082415</v>
      </c>
      <c r="G392" s="171">
        <f t="shared" si="149"/>
        <v>2275800</v>
      </c>
      <c r="H392" s="171">
        <f t="shared" si="149"/>
        <v>0</v>
      </c>
      <c r="I392" s="171">
        <f t="shared" si="149"/>
        <v>0</v>
      </c>
      <c r="J392" s="123"/>
    </row>
    <row r="393" spans="1:10" ht="26.25" customHeight="1" x14ac:dyDescent="0.25">
      <c r="A393" s="169"/>
      <c r="B393" s="229" t="s">
        <v>119</v>
      </c>
      <c r="C393" s="175">
        <f>C394+C395+C396+C397+C398+C402+C403</f>
        <v>0</v>
      </c>
      <c r="D393" s="175">
        <f t="shared" ref="D393:I393" si="150">D394+D395+D396+D397+D398+D402+D403</f>
        <v>588922097</v>
      </c>
      <c r="E393" s="175">
        <f t="shared" si="150"/>
        <v>0</v>
      </c>
      <c r="F393" s="175">
        <f t="shared" si="150"/>
        <v>281082415</v>
      </c>
      <c r="G393" s="175">
        <f t="shared" si="150"/>
        <v>2275800</v>
      </c>
      <c r="H393" s="175">
        <f t="shared" si="150"/>
        <v>0</v>
      </c>
      <c r="I393" s="175">
        <f t="shared" si="150"/>
        <v>0</v>
      </c>
      <c r="J393" s="123"/>
    </row>
    <row r="394" spans="1:10" ht="116.25" customHeight="1" x14ac:dyDescent="0.25">
      <c r="A394" s="169"/>
      <c r="B394" s="123" t="s">
        <v>296</v>
      </c>
      <c r="C394" s="176"/>
      <c r="D394" s="176">
        <v>19100000</v>
      </c>
      <c r="E394" s="176"/>
      <c r="F394" s="176">
        <v>19100000</v>
      </c>
      <c r="G394" s="176"/>
      <c r="H394" s="176"/>
      <c r="I394" s="176"/>
      <c r="J394" s="123" t="s">
        <v>614</v>
      </c>
    </row>
    <row r="395" spans="1:10" ht="67.5" customHeight="1" x14ac:dyDescent="0.25">
      <c r="A395" s="169"/>
      <c r="B395" s="123" t="s">
        <v>297</v>
      </c>
      <c r="C395" s="176"/>
      <c r="D395" s="176">
        <v>191190000</v>
      </c>
      <c r="E395" s="176"/>
      <c r="F395" s="176">
        <v>109986000</v>
      </c>
      <c r="G395" s="176"/>
      <c r="H395" s="176"/>
      <c r="I395" s="176"/>
      <c r="J395" s="123" t="s">
        <v>731</v>
      </c>
    </row>
    <row r="396" spans="1:10" ht="129.75" customHeight="1" x14ac:dyDescent="0.25">
      <c r="A396" s="169"/>
      <c r="B396" s="123" t="s">
        <v>298</v>
      </c>
      <c r="C396" s="176"/>
      <c r="D396" s="176">
        <v>3525000</v>
      </c>
      <c r="E396" s="176"/>
      <c r="F396" s="176">
        <v>3525000</v>
      </c>
      <c r="G396" s="176"/>
      <c r="H396" s="176"/>
      <c r="I396" s="176"/>
      <c r="J396" s="123" t="s">
        <v>614</v>
      </c>
    </row>
    <row r="397" spans="1:10" ht="40.5" customHeight="1" x14ac:dyDescent="0.25">
      <c r="A397" s="169"/>
      <c r="B397" s="123" t="s">
        <v>299</v>
      </c>
      <c r="C397" s="176"/>
      <c r="D397" s="176">
        <v>6415</v>
      </c>
      <c r="E397" s="176"/>
      <c r="F397" s="176">
        <v>6415</v>
      </c>
      <c r="G397" s="176"/>
      <c r="H397" s="176"/>
      <c r="I397" s="176"/>
      <c r="J397" s="123" t="s">
        <v>614</v>
      </c>
    </row>
    <row r="398" spans="1:10" ht="66" customHeight="1" x14ac:dyDescent="0.25">
      <c r="A398" s="169"/>
      <c r="B398" s="123" t="s">
        <v>301</v>
      </c>
      <c r="C398" s="176">
        <f>C399+C400+C401</f>
        <v>0</v>
      </c>
      <c r="D398" s="176">
        <f t="shared" ref="D398:I398" si="151">D399+D400+D401</f>
        <v>369746500</v>
      </c>
      <c r="E398" s="176">
        <f t="shared" si="151"/>
        <v>0</v>
      </c>
      <c r="F398" s="176">
        <f t="shared" si="151"/>
        <v>148465000</v>
      </c>
      <c r="G398" s="176">
        <f t="shared" si="151"/>
        <v>2275800</v>
      </c>
      <c r="H398" s="176">
        <f t="shared" si="151"/>
        <v>0</v>
      </c>
      <c r="I398" s="176">
        <f t="shared" si="151"/>
        <v>0</v>
      </c>
      <c r="J398" s="123"/>
    </row>
    <row r="399" spans="1:10" ht="15.75" x14ac:dyDescent="0.25">
      <c r="A399" s="169"/>
      <c r="B399" s="157" t="s">
        <v>302</v>
      </c>
      <c r="C399" s="176"/>
      <c r="D399" s="176">
        <v>318700000</v>
      </c>
      <c r="E399" s="176"/>
      <c r="F399" s="176">
        <v>127000000</v>
      </c>
      <c r="G399" s="176"/>
      <c r="H399" s="176"/>
      <c r="I399" s="176"/>
      <c r="J399" s="123" t="s">
        <v>731</v>
      </c>
    </row>
    <row r="400" spans="1:10" ht="15.75" x14ac:dyDescent="0.25">
      <c r="A400" s="169"/>
      <c r="B400" s="157" t="s">
        <v>303</v>
      </c>
      <c r="C400" s="176"/>
      <c r="D400" s="176">
        <v>51046500</v>
      </c>
      <c r="E400" s="176"/>
      <c r="F400" s="176">
        <v>21465000</v>
      </c>
      <c r="G400" s="176"/>
      <c r="H400" s="176"/>
      <c r="I400" s="176"/>
      <c r="J400" s="123" t="s">
        <v>731</v>
      </c>
    </row>
    <row r="401" spans="1:11" ht="15.75" x14ac:dyDescent="0.25">
      <c r="A401" s="169"/>
      <c r="B401" s="157" t="s">
        <v>401</v>
      </c>
      <c r="C401" s="176"/>
      <c r="D401" s="176"/>
      <c r="E401" s="176"/>
      <c r="F401" s="176"/>
      <c r="G401" s="176">
        <v>2275800</v>
      </c>
      <c r="H401" s="176"/>
      <c r="I401" s="176"/>
      <c r="J401" s="216" t="s">
        <v>703</v>
      </c>
    </row>
    <row r="402" spans="1:11" ht="51" hidden="1" x14ac:dyDescent="0.25">
      <c r="A402" s="169"/>
      <c r="B402" s="123" t="s">
        <v>304</v>
      </c>
      <c r="C402" s="176"/>
      <c r="D402" s="176">
        <v>2795978</v>
      </c>
      <c r="E402" s="176"/>
      <c r="F402" s="176"/>
      <c r="G402" s="176"/>
      <c r="H402" s="176"/>
      <c r="I402" s="176"/>
      <c r="J402" s="123"/>
    </row>
    <row r="403" spans="1:11" ht="38.25" hidden="1" x14ac:dyDescent="0.25">
      <c r="A403" s="169"/>
      <c r="B403" s="123" t="s">
        <v>305</v>
      </c>
      <c r="C403" s="176"/>
      <c r="D403" s="176">
        <v>2558204</v>
      </c>
      <c r="E403" s="176"/>
      <c r="F403" s="176"/>
      <c r="G403" s="176"/>
      <c r="H403" s="176"/>
      <c r="I403" s="176"/>
      <c r="J403" s="123" t="s">
        <v>562</v>
      </c>
    </row>
    <row r="404" spans="1:11" ht="15.75" hidden="1" x14ac:dyDescent="0.25">
      <c r="A404" s="169"/>
      <c r="B404" s="212"/>
      <c r="C404" s="176"/>
      <c r="D404" s="176"/>
      <c r="E404" s="176"/>
      <c r="F404" s="176"/>
      <c r="G404" s="176"/>
      <c r="H404" s="176"/>
      <c r="I404" s="176"/>
      <c r="J404" s="216"/>
    </row>
    <row r="405" spans="1:11" ht="15.75" hidden="1" x14ac:dyDescent="0.25">
      <c r="A405" s="169"/>
      <c r="B405" s="212"/>
      <c r="C405" s="176"/>
      <c r="D405" s="176"/>
      <c r="E405" s="176"/>
      <c r="F405" s="176"/>
      <c r="G405" s="176"/>
      <c r="H405" s="176"/>
      <c r="I405" s="176"/>
      <c r="J405" s="216"/>
    </row>
    <row r="406" spans="1:11" s="251" customFormat="1" ht="63.75" hidden="1" x14ac:dyDescent="0.25">
      <c r="A406" s="169" t="s">
        <v>160</v>
      </c>
      <c r="B406" s="173" t="s">
        <v>161</v>
      </c>
      <c r="C406" s="171">
        <f>C407</f>
        <v>0</v>
      </c>
      <c r="D406" s="171">
        <f t="shared" ref="D406:I406" si="152">D407</f>
        <v>0</v>
      </c>
      <c r="E406" s="171">
        <f t="shared" si="152"/>
        <v>0</v>
      </c>
      <c r="F406" s="171">
        <f t="shared" si="152"/>
        <v>0</v>
      </c>
      <c r="G406" s="171">
        <f t="shared" si="152"/>
        <v>0</v>
      </c>
      <c r="H406" s="171">
        <f t="shared" si="152"/>
        <v>0</v>
      </c>
      <c r="I406" s="171">
        <f t="shared" si="152"/>
        <v>0</v>
      </c>
      <c r="J406" s="216"/>
      <c r="K406" s="250"/>
    </row>
    <row r="407" spans="1:11" ht="25.5" hidden="1" x14ac:dyDescent="0.25">
      <c r="A407" s="169"/>
      <c r="B407" s="229" t="s">
        <v>243</v>
      </c>
      <c r="C407" s="175">
        <f>SUM(C408:C409)</f>
        <v>0</v>
      </c>
      <c r="D407" s="175">
        <f t="shared" ref="D407:I407" si="153">SUM(D408:D409)</f>
        <v>0</v>
      </c>
      <c r="E407" s="175">
        <f t="shared" si="153"/>
        <v>0</v>
      </c>
      <c r="F407" s="175">
        <f t="shared" si="153"/>
        <v>0</v>
      </c>
      <c r="G407" s="175">
        <f t="shared" si="153"/>
        <v>0</v>
      </c>
      <c r="H407" s="175">
        <f t="shared" si="153"/>
        <v>0</v>
      </c>
      <c r="I407" s="175">
        <f t="shared" si="153"/>
        <v>0</v>
      </c>
      <c r="J407" s="123"/>
    </row>
    <row r="408" spans="1:11" ht="15.75" hidden="1" x14ac:dyDescent="0.25">
      <c r="A408" s="169"/>
      <c r="B408" s="123"/>
      <c r="C408" s="176"/>
      <c r="D408" s="176"/>
      <c r="E408" s="176"/>
      <c r="F408" s="176"/>
      <c r="G408" s="176"/>
      <c r="H408" s="176"/>
      <c r="I408" s="176"/>
      <c r="J408" s="123"/>
    </row>
    <row r="409" spans="1:11" ht="15.75" hidden="1" x14ac:dyDescent="0.25">
      <c r="A409" s="169"/>
      <c r="B409" s="212"/>
      <c r="C409" s="176"/>
      <c r="D409" s="176"/>
      <c r="E409" s="176"/>
      <c r="F409" s="176"/>
      <c r="G409" s="176"/>
      <c r="H409" s="176"/>
      <c r="I409" s="176"/>
      <c r="J409" s="123"/>
    </row>
    <row r="410" spans="1:11" ht="43.5" customHeight="1" x14ac:dyDescent="0.25">
      <c r="A410" s="169" t="s">
        <v>5</v>
      </c>
      <c r="B410" s="214" t="s">
        <v>749</v>
      </c>
      <c r="C410" s="171">
        <f t="shared" ref="C410:I410" si="154">C411+C438+C443+C422+C425+C428+C434+C431</f>
        <v>23461800</v>
      </c>
      <c r="D410" s="171">
        <f t="shared" si="154"/>
        <v>0</v>
      </c>
      <c r="E410" s="171">
        <f t="shared" si="154"/>
        <v>6275385</v>
      </c>
      <c r="F410" s="171">
        <f t="shared" si="154"/>
        <v>0</v>
      </c>
      <c r="G410" s="171">
        <f t="shared" si="154"/>
        <v>77033930</v>
      </c>
      <c r="H410" s="171">
        <f t="shared" si="154"/>
        <v>37767715</v>
      </c>
      <c r="I410" s="171">
        <f t="shared" si="154"/>
        <v>56350715</v>
      </c>
      <c r="J410" s="123"/>
    </row>
    <row r="411" spans="1:11" ht="39.75" customHeight="1" x14ac:dyDescent="0.25">
      <c r="A411" s="169" t="s">
        <v>7</v>
      </c>
      <c r="B411" s="173" t="s">
        <v>8</v>
      </c>
      <c r="C411" s="171">
        <f>C412</f>
        <v>23461800</v>
      </c>
      <c r="D411" s="171">
        <f t="shared" ref="D411:I411" si="155">D412</f>
        <v>0</v>
      </c>
      <c r="E411" s="171">
        <f t="shared" si="155"/>
        <v>0</v>
      </c>
      <c r="F411" s="171">
        <f t="shared" si="155"/>
        <v>0</v>
      </c>
      <c r="G411" s="171">
        <f t="shared" si="155"/>
        <v>70758547</v>
      </c>
      <c r="H411" s="171">
        <f t="shared" si="155"/>
        <v>37767715</v>
      </c>
      <c r="I411" s="171">
        <f t="shared" si="155"/>
        <v>56350715</v>
      </c>
      <c r="J411" s="123"/>
    </row>
    <row r="412" spans="1:11" ht="41.25" customHeight="1" x14ac:dyDescent="0.25">
      <c r="A412" s="169"/>
      <c r="B412" s="157" t="s">
        <v>121</v>
      </c>
      <c r="C412" s="175">
        <f t="shared" ref="C412:I412" si="156">SUM(C413:C421)</f>
        <v>23461800</v>
      </c>
      <c r="D412" s="175">
        <f t="shared" si="156"/>
        <v>0</v>
      </c>
      <c r="E412" s="175">
        <f t="shared" si="156"/>
        <v>0</v>
      </c>
      <c r="F412" s="175">
        <f t="shared" si="156"/>
        <v>0</v>
      </c>
      <c r="G412" s="175">
        <f t="shared" si="156"/>
        <v>70758547</v>
      </c>
      <c r="H412" s="175">
        <f t="shared" si="156"/>
        <v>37767715</v>
      </c>
      <c r="I412" s="175">
        <f t="shared" si="156"/>
        <v>56350715</v>
      </c>
      <c r="J412" s="123"/>
    </row>
    <row r="413" spans="1:11" ht="15.75" hidden="1" x14ac:dyDescent="0.25">
      <c r="A413" s="169"/>
      <c r="B413" s="252"/>
      <c r="C413" s="176"/>
      <c r="D413" s="176"/>
      <c r="E413" s="176"/>
      <c r="F413" s="176"/>
      <c r="G413" s="176"/>
      <c r="H413" s="176"/>
      <c r="I413" s="176"/>
      <c r="J413" s="123"/>
    </row>
    <row r="414" spans="1:11" ht="39" customHeight="1" x14ac:dyDescent="0.25">
      <c r="A414" s="169"/>
      <c r="B414" s="252" t="s">
        <v>253</v>
      </c>
      <c r="C414" s="176">
        <v>23461800</v>
      </c>
      <c r="D414" s="176"/>
      <c r="E414" s="176"/>
      <c r="F414" s="176"/>
      <c r="G414" s="176"/>
      <c r="H414" s="176"/>
      <c r="I414" s="176"/>
      <c r="J414" s="123" t="s">
        <v>785</v>
      </c>
    </row>
    <row r="415" spans="1:11" ht="15.75" hidden="1" x14ac:dyDescent="0.25">
      <c r="A415" s="169"/>
      <c r="B415" s="252"/>
      <c r="C415" s="176"/>
      <c r="D415" s="176"/>
      <c r="E415" s="176"/>
      <c r="F415" s="176"/>
      <c r="G415" s="176"/>
      <c r="H415" s="176"/>
      <c r="I415" s="176"/>
      <c r="J415" s="123"/>
    </row>
    <row r="416" spans="1:11" ht="15.75" hidden="1" x14ac:dyDescent="0.25">
      <c r="A416" s="169"/>
      <c r="B416" s="123"/>
      <c r="C416" s="176"/>
      <c r="D416" s="176"/>
      <c r="E416" s="176"/>
      <c r="F416" s="176"/>
      <c r="G416" s="176"/>
      <c r="H416" s="176"/>
      <c r="I416" s="176"/>
      <c r="J416" s="123"/>
    </row>
    <row r="417" spans="1:11" ht="40.5" customHeight="1" x14ac:dyDescent="0.25">
      <c r="A417" s="169"/>
      <c r="B417" s="123" t="s">
        <v>258</v>
      </c>
      <c r="C417" s="176"/>
      <c r="D417" s="176"/>
      <c r="E417" s="176"/>
      <c r="F417" s="176"/>
      <c r="G417" s="176">
        <f>36767715+32990832+1000000</f>
        <v>70758547</v>
      </c>
      <c r="H417" s="176">
        <v>37767715</v>
      </c>
      <c r="I417" s="176">
        <v>56350715</v>
      </c>
      <c r="J417" s="123" t="s">
        <v>704</v>
      </c>
    </row>
    <row r="418" spans="1:11" ht="15.75" hidden="1" x14ac:dyDescent="0.25">
      <c r="A418" s="169"/>
      <c r="B418" s="123"/>
      <c r="C418" s="176"/>
      <c r="D418" s="176"/>
      <c r="E418" s="176"/>
      <c r="F418" s="176"/>
      <c r="G418" s="176"/>
      <c r="H418" s="176"/>
      <c r="I418" s="176"/>
      <c r="J418" s="123"/>
    </row>
    <row r="419" spans="1:11" ht="15.75" hidden="1" x14ac:dyDescent="0.25">
      <c r="A419" s="169"/>
      <c r="B419" s="123"/>
      <c r="C419" s="176"/>
      <c r="D419" s="176"/>
      <c r="E419" s="176"/>
      <c r="F419" s="176"/>
      <c r="G419" s="176"/>
      <c r="H419" s="176"/>
      <c r="I419" s="176"/>
      <c r="J419" s="123"/>
    </row>
    <row r="420" spans="1:11" ht="15.75" hidden="1" x14ac:dyDescent="0.25">
      <c r="A420" s="169"/>
      <c r="B420" s="123"/>
      <c r="C420" s="176"/>
      <c r="D420" s="176"/>
      <c r="E420" s="176"/>
      <c r="F420" s="176"/>
      <c r="G420" s="176"/>
      <c r="H420" s="176"/>
      <c r="I420" s="176"/>
      <c r="J420" s="123"/>
    </row>
    <row r="421" spans="1:11" ht="15.75" hidden="1" x14ac:dyDescent="0.25">
      <c r="A421" s="169"/>
      <c r="B421" s="123"/>
      <c r="C421" s="176"/>
      <c r="D421" s="176"/>
      <c r="E421" s="176"/>
      <c r="F421" s="176"/>
      <c r="G421" s="176"/>
      <c r="H421" s="176"/>
      <c r="I421" s="176"/>
      <c r="J421" s="123"/>
    </row>
    <row r="422" spans="1:11" ht="38.25" hidden="1" x14ac:dyDescent="0.25">
      <c r="A422" s="169" t="s">
        <v>102</v>
      </c>
      <c r="B422" s="228" t="s">
        <v>103</v>
      </c>
      <c r="C422" s="171">
        <f t="shared" ref="C422:I423" si="157">C423</f>
        <v>0</v>
      </c>
      <c r="D422" s="171">
        <f t="shared" si="157"/>
        <v>0</v>
      </c>
      <c r="E422" s="171">
        <f t="shared" si="157"/>
        <v>0</v>
      </c>
      <c r="F422" s="171">
        <f t="shared" si="157"/>
        <v>0</v>
      </c>
      <c r="G422" s="171">
        <f t="shared" si="157"/>
        <v>0</v>
      </c>
      <c r="H422" s="171">
        <f t="shared" si="157"/>
        <v>0</v>
      </c>
      <c r="I422" s="171">
        <f t="shared" si="157"/>
        <v>0</v>
      </c>
      <c r="J422" s="253"/>
    </row>
    <row r="423" spans="1:11" ht="38.25" hidden="1" x14ac:dyDescent="0.25">
      <c r="A423" s="169"/>
      <c r="B423" s="157" t="s">
        <v>121</v>
      </c>
      <c r="C423" s="176">
        <f>C424</f>
        <v>0</v>
      </c>
      <c r="D423" s="176">
        <f t="shared" si="157"/>
        <v>0</v>
      </c>
      <c r="E423" s="176">
        <f t="shared" si="157"/>
        <v>0</v>
      </c>
      <c r="F423" s="176">
        <f t="shared" si="157"/>
        <v>0</v>
      </c>
      <c r="G423" s="176">
        <f t="shared" si="157"/>
        <v>0</v>
      </c>
      <c r="H423" s="176">
        <f t="shared" si="157"/>
        <v>0</v>
      </c>
      <c r="I423" s="176">
        <f t="shared" si="157"/>
        <v>0</v>
      </c>
      <c r="J423" s="123"/>
    </row>
    <row r="424" spans="1:11" ht="15.75" hidden="1" x14ac:dyDescent="0.25">
      <c r="A424" s="169"/>
      <c r="B424" s="252"/>
      <c r="C424" s="176"/>
      <c r="D424" s="176"/>
      <c r="E424" s="176"/>
      <c r="F424" s="176"/>
      <c r="G424" s="176"/>
      <c r="H424" s="176"/>
      <c r="I424" s="176"/>
      <c r="J424" s="123"/>
    </row>
    <row r="425" spans="1:11" ht="63.75" hidden="1" x14ac:dyDescent="0.25">
      <c r="A425" s="169" t="s">
        <v>104</v>
      </c>
      <c r="B425" s="228" t="s">
        <v>105</v>
      </c>
      <c r="C425" s="171">
        <f t="shared" ref="C425:I426" si="158">C426</f>
        <v>0</v>
      </c>
      <c r="D425" s="171">
        <f t="shared" si="158"/>
        <v>0</v>
      </c>
      <c r="E425" s="171">
        <f t="shared" si="158"/>
        <v>0</v>
      </c>
      <c r="F425" s="171">
        <f t="shared" si="158"/>
        <v>0</v>
      </c>
      <c r="G425" s="171">
        <f t="shared" si="158"/>
        <v>0</v>
      </c>
      <c r="H425" s="171">
        <f t="shared" si="158"/>
        <v>0</v>
      </c>
      <c r="I425" s="171">
        <f t="shared" si="158"/>
        <v>0</v>
      </c>
      <c r="J425" s="123"/>
    </row>
    <row r="426" spans="1:11" ht="38.25" hidden="1" x14ac:dyDescent="0.25">
      <c r="A426" s="169"/>
      <c r="B426" s="157" t="s">
        <v>121</v>
      </c>
      <c r="C426" s="175">
        <f>C427</f>
        <v>0</v>
      </c>
      <c r="D426" s="175">
        <f t="shared" si="158"/>
        <v>0</v>
      </c>
      <c r="E426" s="175">
        <f t="shared" si="158"/>
        <v>0</v>
      </c>
      <c r="F426" s="175">
        <f t="shared" si="158"/>
        <v>0</v>
      </c>
      <c r="G426" s="175">
        <f t="shared" si="158"/>
        <v>0</v>
      </c>
      <c r="H426" s="175">
        <f t="shared" si="158"/>
        <v>0</v>
      </c>
      <c r="I426" s="175">
        <f t="shared" si="158"/>
        <v>0</v>
      </c>
      <c r="J426" s="123"/>
    </row>
    <row r="427" spans="1:11" ht="15.75" hidden="1" x14ac:dyDescent="0.25">
      <c r="A427" s="169"/>
      <c r="B427" s="252"/>
      <c r="C427" s="176"/>
      <c r="D427" s="176"/>
      <c r="E427" s="176"/>
      <c r="F427" s="176"/>
      <c r="G427" s="176"/>
      <c r="H427" s="176"/>
      <c r="I427" s="176"/>
      <c r="J427" s="123"/>
    </row>
    <row r="428" spans="1:11" ht="63.75" hidden="1" x14ac:dyDescent="0.25">
      <c r="A428" s="169" t="s">
        <v>106</v>
      </c>
      <c r="B428" s="228" t="s">
        <v>228</v>
      </c>
      <c r="C428" s="171">
        <f>C430</f>
        <v>0</v>
      </c>
      <c r="D428" s="171">
        <f t="shared" ref="D428:I428" si="159">D430</f>
        <v>0</v>
      </c>
      <c r="E428" s="171">
        <f t="shared" si="159"/>
        <v>0</v>
      </c>
      <c r="F428" s="171">
        <f t="shared" ref="F428:G428" si="160">F430</f>
        <v>0</v>
      </c>
      <c r="G428" s="171">
        <f t="shared" si="160"/>
        <v>0</v>
      </c>
      <c r="H428" s="171">
        <f t="shared" si="159"/>
        <v>0</v>
      </c>
      <c r="I428" s="171">
        <f t="shared" si="159"/>
        <v>0</v>
      </c>
      <c r="J428" s="123"/>
    </row>
    <row r="429" spans="1:11" ht="38.25" hidden="1" x14ac:dyDescent="0.25">
      <c r="A429" s="169"/>
      <c r="B429" s="157" t="s">
        <v>121</v>
      </c>
      <c r="C429" s="175">
        <f>C430</f>
        <v>0</v>
      </c>
      <c r="D429" s="175">
        <f t="shared" ref="D429:I429" si="161">D430</f>
        <v>0</v>
      </c>
      <c r="E429" s="175">
        <f t="shared" si="161"/>
        <v>0</v>
      </c>
      <c r="F429" s="175">
        <f t="shared" si="161"/>
        <v>0</v>
      </c>
      <c r="G429" s="175">
        <f t="shared" si="161"/>
        <v>0</v>
      </c>
      <c r="H429" s="175">
        <f t="shared" si="161"/>
        <v>0</v>
      </c>
      <c r="I429" s="175">
        <f t="shared" si="161"/>
        <v>0</v>
      </c>
      <c r="J429" s="123"/>
    </row>
    <row r="430" spans="1:11" ht="15.75" hidden="1" x14ac:dyDescent="0.25">
      <c r="A430" s="169"/>
      <c r="B430" s="123"/>
      <c r="C430" s="176"/>
      <c r="D430" s="176"/>
      <c r="E430" s="176"/>
      <c r="F430" s="176"/>
      <c r="G430" s="176"/>
      <c r="H430" s="176"/>
      <c r="I430" s="176"/>
      <c r="J430" s="123"/>
    </row>
    <row r="431" spans="1:11" ht="38.25" hidden="1" x14ac:dyDescent="0.25">
      <c r="A431" s="169" t="s">
        <v>224</v>
      </c>
      <c r="B431" s="228" t="s">
        <v>227</v>
      </c>
      <c r="C431" s="171">
        <f>SUM(C432)</f>
        <v>0</v>
      </c>
      <c r="D431" s="176">
        <f t="shared" ref="D431:I432" si="162">SUM(D432)</f>
        <v>0</v>
      </c>
      <c r="E431" s="176">
        <f t="shared" si="162"/>
        <v>0</v>
      </c>
      <c r="F431" s="176">
        <f t="shared" si="162"/>
        <v>0</v>
      </c>
      <c r="G431" s="176">
        <f t="shared" si="162"/>
        <v>0</v>
      </c>
      <c r="H431" s="171">
        <f t="shared" si="162"/>
        <v>0</v>
      </c>
      <c r="I431" s="171">
        <f t="shared" si="162"/>
        <v>0</v>
      </c>
      <c r="J431" s="123"/>
      <c r="K431" s="162"/>
    </row>
    <row r="432" spans="1:11" ht="38.25" hidden="1" x14ac:dyDescent="0.25">
      <c r="A432" s="169"/>
      <c r="B432" s="157" t="s">
        <v>121</v>
      </c>
      <c r="C432" s="175">
        <f>SUM(C433)</f>
        <v>0</v>
      </c>
      <c r="D432" s="175">
        <f t="shared" si="162"/>
        <v>0</v>
      </c>
      <c r="E432" s="175">
        <f t="shared" si="162"/>
        <v>0</v>
      </c>
      <c r="F432" s="175">
        <f t="shared" si="162"/>
        <v>0</v>
      </c>
      <c r="G432" s="175">
        <f t="shared" si="162"/>
        <v>0</v>
      </c>
      <c r="H432" s="175">
        <f t="shared" si="162"/>
        <v>0</v>
      </c>
      <c r="I432" s="175">
        <f t="shared" si="162"/>
        <v>0</v>
      </c>
      <c r="J432" s="123"/>
      <c r="K432" s="162"/>
    </row>
    <row r="433" spans="1:11" ht="15.75" hidden="1" x14ac:dyDescent="0.25">
      <c r="A433" s="169"/>
      <c r="B433" s="252"/>
      <c r="C433" s="176"/>
      <c r="D433" s="176"/>
      <c r="E433" s="176"/>
      <c r="F433" s="176"/>
      <c r="G433" s="176"/>
      <c r="H433" s="176"/>
      <c r="I433" s="176"/>
      <c r="J433" s="123"/>
      <c r="K433" s="162"/>
    </row>
    <row r="434" spans="1:11" ht="102" hidden="1" x14ac:dyDescent="0.25">
      <c r="A434" s="169" t="s">
        <v>118</v>
      </c>
      <c r="B434" s="228" t="s">
        <v>169</v>
      </c>
      <c r="C434" s="171">
        <f t="shared" ref="C434:I434" si="163">C435</f>
        <v>0</v>
      </c>
      <c r="D434" s="171">
        <f t="shared" si="163"/>
        <v>0</v>
      </c>
      <c r="E434" s="171">
        <f t="shared" si="163"/>
        <v>0</v>
      </c>
      <c r="F434" s="171">
        <f t="shared" si="163"/>
        <v>0</v>
      </c>
      <c r="G434" s="171">
        <f t="shared" si="163"/>
        <v>0</v>
      </c>
      <c r="H434" s="171">
        <f t="shared" si="163"/>
        <v>0</v>
      </c>
      <c r="I434" s="171">
        <f t="shared" si="163"/>
        <v>0</v>
      </c>
      <c r="J434" s="123"/>
    </row>
    <row r="435" spans="1:11" ht="25.5" hidden="1" x14ac:dyDescent="0.25">
      <c r="A435" s="169"/>
      <c r="B435" s="174" t="s">
        <v>120</v>
      </c>
      <c r="C435" s="175">
        <f t="shared" ref="C435:I435" si="164">SUM(C436:C436)</f>
        <v>0</v>
      </c>
      <c r="D435" s="175">
        <f t="shared" si="164"/>
        <v>0</v>
      </c>
      <c r="E435" s="175">
        <f t="shared" si="164"/>
        <v>0</v>
      </c>
      <c r="F435" s="175">
        <f t="shared" si="164"/>
        <v>0</v>
      </c>
      <c r="G435" s="175">
        <f t="shared" si="164"/>
        <v>0</v>
      </c>
      <c r="H435" s="175">
        <f t="shared" si="164"/>
        <v>0</v>
      </c>
      <c r="I435" s="175">
        <f t="shared" si="164"/>
        <v>0</v>
      </c>
      <c r="J435" s="123"/>
    </row>
    <row r="436" spans="1:11" ht="15.75" hidden="1" x14ac:dyDescent="0.25">
      <c r="A436" s="169"/>
      <c r="B436" s="252"/>
      <c r="C436" s="176"/>
      <c r="D436" s="176"/>
      <c r="E436" s="176"/>
      <c r="F436" s="176"/>
      <c r="G436" s="176"/>
      <c r="H436" s="176"/>
      <c r="I436" s="176"/>
      <c r="J436" s="123"/>
    </row>
    <row r="437" spans="1:11" ht="15.75" hidden="1" x14ac:dyDescent="0.25">
      <c r="A437" s="169"/>
      <c r="B437" s="252"/>
      <c r="C437" s="176"/>
      <c r="D437" s="176"/>
      <c r="E437" s="176"/>
      <c r="F437" s="176"/>
      <c r="G437" s="176"/>
      <c r="H437" s="176"/>
      <c r="I437" s="176"/>
      <c r="J437" s="123"/>
    </row>
    <row r="438" spans="1:11" ht="51" hidden="1" x14ac:dyDescent="0.25">
      <c r="A438" s="169" t="s">
        <v>9</v>
      </c>
      <c r="B438" s="173" t="s">
        <v>10</v>
      </c>
      <c r="C438" s="171">
        <f t="shared" ref="C438:I438" si="165">C439</f>
        <v>0</v>
      </c>
      <c r="D438" s="171">
        <f t="shared" si="165"/>
        <v>0</v>
      </c>
      <c r="E438" s="171">
        <f t="shared" si="165"/>
        <v>0</v>
      </c>
      <c r="F438" s="171">
        <f t="shared" si="165"/>
        <v>0</v>
      </c>
      <c r="G438" s="171">
        <f t="shared" si="165"/>
        <v>0</v>
      </c>
      <c r="H438" s="171">
        <f t="shared" si="165"/>
        <v>0</v>
      </c>
      <c r="I438" s="171">
        <f t="shared" si="165"/>
        <v>0</v>
      </c>
      <c r="J438" s="123"/>
    </row>
    <row r="439" spans="1:11" ht="25.5" hidden="1" x14ac:dyDescent="0.25">
      <c r="A439" s="169"/>
      <c r="B439" s="174" t="s">
        <v>120</v>
      </c>
      <c r="C439" s="175">
        <f>C441+C442+C440</f>
        <v>0</v>
      </c>
      <c r="D439" s="175">
        <f t="shared" ref="D439:I439" si="166">D441+D442+D440</f>
        <v>0</v>
      </c>
      <c r="E439" s="175">
        <f t="shared" si="166"/>
        <v>0</v>
      </c>
      <c r="F439" s="175">
        <f t="shared" si="166"/>
        <v>0</v>
      </c>
      <c r="G439" s="175">
        <f t="shared" si="166"/>
        <v>0</v>
      </c>
      <c r="H439" s="175">
        <f t="shared" si="166"/>
        <v>0</v>
      </c>
      <c r="I439" s="175">
        <f t="shared" si="166"/>
        <v>0</v>
      </c>
      <c r="J439" s="123"/>
    </row>
    <row r="440" spans="1:11" ht="15.75" hidden="1" x14ac:dyDescent="0.25">
      <c r="A440" s="169"/>
      <c r="B440" s="123"/>
      <c r="C440" s="175"/>
      <c r="D440" s="175"/>
      <c r="E440" s="175"/>
      <c r="F440" s="175"/>
      <c r="G440" s="175"/>
      <c r="H440" s="175"/>
      <c r="I440" s="175"/>
      <c r="J440" s="123"/>
    </row>
    <row r="441" spans="1:11" ht="38.25" hidden="1" customHeight="1" x14ac:dyDescent="0.25">
      <c r="A441" s="169"/>
      <c r="B441" s="156"/>
      <c r="C441" s="175"/>
      <c r="D441" s="175"/>
      <c r="E441" s="175"/>
      <c r="F441" s="175"/>
      <c r="G441" s="175"/>
      <c r="H441" s="176"/>
      <c r="I441" s="176"/>
      <c r="J441" s="123"/>
    </row>
    <row r="442" spans="1:11" ht="15.75" hidden="1" x14ac:dyDescent="0.25">
      <c r="A442" s="169"/>
      <c r="B442" s="156"/>
      <c r="C442" s="176"/>
      <c r="D442" s="176"/>
      <c r="E442" s="176"/>
      <c r="F442" s="176"/>
      <c r="G442" s="176"/>
      <c r="H442" s="176"/>
      <c r="I442" s="176"/>
      <c r="J442" s="123"/>
    </row>
    <row r="443" spans="1:11" ht="42" customHeight="1" x14ac:dyDescent="0.25">
      <c r="A443" s="169" t="s">
        <v>11</v>
      </c>
      <c r="B443" s="173" t="s">
        <v>12</v>
      </c>
      <c r="C443" s="171">
        <f>C444+C448</f>
        <v>0</v>
      </c>
      <c r="D443" s="171">
        <f t="shared" ref="D443:I443" si="167">D444+D448</f>
        <v>0</v>
      </c>
      <c r="E443" s="171">
        <f t="shared" si="167"/>
        <v>6275385</v>
      </c>
      <c r="F443" s="171">
        <f t="shared" ref="F443:G443" si="168">F444+F448</f>
        <v>0</v>
      </c>
      <c r="G443" s="171">
        <f t="shared" si="168"/>
        <v>6275383</v>
      </c>
      <c r="H443" s="171">
        <f t="shared" si="167"/>
        <v>0</v>
      </c>
      <c r="I443" s="171">
        <f t="shared" si="167"/>
        <v>0</v>
      </c>
      <c r="J443" s="231"/>
    </row>
    <row r="444" spans="1:11" ht="42.75" customHeight="1" x14ac:dyDescent="0.25">
      <c r="A444" s="169"/>
      <c r="B444" s="157" t="s">
        <v>121</v>
      </c>
      <c r="C444" s="175">
        <f>C447+C446+C445</f>
        <v>0</v>
      </c>
      <c r="D444" s="175">
        <f t="shared" ref="D444:I444" si="169">D447+D446+D445</f>
        <v>0</v>
      </c>
      <c r="E444" s="175">
        <f t="shared" si="169"/>
        <v>6275385</v>
      </c>
      <c r="F444" s="175">
        <f t="shared" ref="F444:G444" si="170">F447+F446+F445</f>
        <v>0</v>
      </c>
      <c r="G444" s="175">
        <f t="shared" si="170"/>
        <v>6275383</v>
      </c>
      <c r="H444" s="175">
        <f t="shared" si="169"/>
        <v>0</v>
      </c>
      <c r="I444" s="175">
        <f t="shared" si="169"/>
        <v>0</v>
      </c>
      <c r="J444" s="123"/>
    </row>
    <row r="445" spans="1:11" ht="30.75" customHeight="1" x14ac:dyDescent="0.25">
      <c r="A445" s="169"/>
      <c r="B445" s="212" t="s">
        <v>263</v>
      </c>
      <c r="C445" s="176"/>
      <c r="D445" s="176"/>
      <c r="E445" s="176">
        <v>6275385</v>
      </c>
      <c r="F445" s="176"/>
      <c r="G445" s="176">
        <v>6275383</v>
      </c>
      <c r="H445" s="176"/>
      <c r="I445" s="176"/>
      <c r="J445" s="123" t="s">
        <v>705</v>
      </c>
    </row>
    <row r="446" spans="1:11" ht="25.5" hidden="1" x14ac:dyDescent="0.25">
      <c r="A446" s="169"/>
      <c r="B446" s="229" t="s">
        <v>243</v>
      </c>
      <c r="C446" s="176">
        <f>C447</f>
        <v>0</v>
      </c>
      <c r="D446" s="176">
        <f t="shared" ref="D446:I446" si="171">D447</f>
        <v>0</v>
      </c>
      <c r="E446" s="176">
        <f t="shared" si="171"/>
        <v>0</v>
      </c>
      <c r="F446" s="176">
        <f t="shared" si="171"/>
        <v>0</v>
      </c>
      <c r="G446" s="176">
        <f t="shared" si="171"/>
        <v>0</v>
      </c>
      <c r="H446" s="176">
        <f t="shared" si="171"/>
        <v>0</v>
      </c>
      <c r="I446" s="176">
        <f t="shared" si="171"/>
        <v>0</v>
      </c>
      <c r="J446" s="123"/>
    </row>
    <row r="447" spans="1:11" ht="15.75" hidden="1" x14ac:dyDescent="0.25">
      <c r="A447" s="169"/>
      <c r="B447" s="274"/>
      <c r="C447" s="176"/>
      <c r="D447" s="175"/>
      <c r="E447" s="175"/>
      <c r="F447" s="175"/>
      <c r="G447" s="175"/>
      <c r="H447" s="176"/>
      <c r="I447" s="176"/>
      <c r="J447" s="173"/>
    </row>
    <row r="448" spans="1:11" ht="25.5" hidden="1" x14ac:dyDescent="0.25">
      <c r="A448" s="169"/>
      <c r="B448" s="229" t="s">
        <v>119</v>
      </c>
      <c r="C448" s="176">
        <f>C449</f>
        <v>0</v>
      </c>
      <c r="D448" s="176">
        <f t="shared" ref="D448:I448" si="172">D449</f>
        <v>0</v>
      </c>
      <c r="E448" s="176">
        <f t="shared" si="172"/>
        <v>0</v>
      </c>
      <c r="F448" s="176">
        <f t="shared" si="172"/>
        <v>0</v>
      </c>
      <c r="G448" s="176">
        <f t="shared" si="172"/>
        <v>0</v>
      </c>
      <c r="H448" s="176">
        <f t="shared" si="172"/>
        <v>0</v>
      </c>
      <c r="I448" s="176">
        <f t="shared" si="172"/>
        <v>0</v>
      </c>
      <c r="J448" s="123"/>
    </row>
    <row r="449" spans="1:10" ht="15.75" hidden="1" x14ac:dyDescent="0.25">
      <c r="A449" s="169"/>
      <c r="B449" s="274"/>
      <c r="C449" s="176"/>
      <c r="D449" s="175"/>
      <c r="E449" s="175"/>
      <c r="F449" s="175"/>
      <c r="G449" s="175"/>
      <c r="H449" s="176"/>
      <c r="I449" s="176"/>
      <c r="J449" s="123"/>
    </row>
    <row r="450" spans="1:10" ht="15.75" hidden="1" x14ac:dyDescent="0.25">
      <c r="A450" s="169"/>
      <c r="B450" s="274"/>
      <c r="C450" s="176"/>
      <c r="D450" s="175"/>
      <c r="E450" s="175"/>
      <c r="F450" s="175"/>
      <c r="G450" s="175"/>
      <c r="H450" s="176"/>
      <c r="I450" s="176"/>
      <c r="J450" s="123"/>
    </row>
    <row r="451" spans="1:10" ht="38.25" hidden="1" x14ac:dyDescent="0.25">
      <c r="A451" s="169" t="s">
        <v>265</v>
      </c>
      <c r="B451" s="198" t="s">
        <v>266</v>
      </c>
      <c r="C451" s="171">
        <f>SUM(C452)</f>
        <v>0</v>
      </c>
      <c r="D451" s="171">
        <f t="shared" ref="D451:I451" si="173">SUM(D452)</f>
        <v>0</v>
      </c>
      <c r="E451" s="171">
        <f t="shared" si="173"/>
        <v>0</v>
      </c>
      <c r="F451" s="171">
        <f t="shared" si="173"/>
        <v>0</v>
      </c>
      <c r="G451" s="171">
        <f t="shared" si="173"/>
        <v>0</v>
      </c>
      <c r="H451" s="171">
        <f t="shared" si="173"/>
        <v>0</v>
      </c>
      <c r="I451" s="171">
        <f t="shared" si="173"/>
        <v>0</v>
      </c>
      <c r="J451" s="199"/>
    </row>
    <row r="452" spans="1:10" ht="38.25" hidden="1" x14ac:dyDescent="0.25">
      <c r="A452" s="169" t="s">
        <v>267</v>
      </c>
      <c r="B452" s="173" t="s">
        <v>268</v>
      </c>
      <c r="C452" s="171">
        <f t="shared" ref="C452:I452" si="174">C453</f>
        <v>0</v>
      </c>
      <c r="D452" s="171">
        <f t="shared" si="174"/>
        <v>0</v>
      </c>
      <c r="E452" s="171">
        <f t="shared" si="174"/>
        <v>0</v>
      </c>
      <c r="F452" s="171">
        <f t="shared" si="174"/>
        <v>0</v>
      </c>
      <c r="G452" s="171">
        <f t="shared" si="174"/>
        <v>0</v>
      </c>
      <c r="H452" s="171">
        <f t="shared" si="174"/>
        <v>0</v>
      </c>
      <c r="I452" s="171">
        <f t="shared" si="174"/>
        <v>0</v>
      </c>
      <c r="J452" s="123"/>
    </row>
    <row r="453" spans="1:10" ht="25.5" hidden="1" x14ac:dyDescent="0.25">
      <c r="A453" s="169"/>
      <c r="B453" s="174" t="s">
        <v>269</v>
      </c>
      <c r="C453" s="175">
        <f>SUM(C454:C455)</f>
        <v>0</v>
      </c>
      <c r="D453" s="175">
        <f t="shared" ref="D453:I453" si="175">SUM(D454:D455)</f>
        <v>0</v>
      </c>
      <c r="E453" s="175">
        <f t="shared" si="175"/>
        <v>0</v>
      </c>
      <c r="F453" s="175">
        <f t="shared" si="175"/>
        <v>0</v>
      </c>
      <c r="G453" s="175">
        <f t="shared" si="175"/>
        <v>0</v>
      </c>
      <c r="H453" s="175">
        <f t="shared" si="175"/>
        <v>0</v>
      </c>
      <c r="I453" s="175">
        <f t="shared" si="175"/>
        <v>0</v>
      </c>
      <c r="J453" s="123"/>
    </row>
    <row r="454" spans="1:10" ht="15.75" hidden="1" x14ac:dyDescent="0.25">
      <c r="A454" s="169"/>
      <c r="B454" s="123"/>
      <c r="C454" s="175"/>
      <c r="D454" s="175"/>
      <c r="E454" s="175"/>
      <c r="F454" s="175"/>
      <c r="G454" s="175"/>
      <c r="H454" s="254"/>
      <c r="I454" s="254"/>
      <c r="J454" s="123"/>
    </row>
    <row r="455" spans="1:10" ht="15.75" hidden="1" x14ac:dyDescent="0.25">
      <c r="A455" s="169"/>
      <c r="B455" s="212"/>
      <c r="C455" s="159"/>
      <c r="D455" s="159"/>
      <c r="E455" s="159"/>
      <c r="F455" s="159"/>
      <c r="G455" s="159"/>
      <c r="H455" s="254"/>
      <c r="I455" s="254"/>
      <c r="J455" s="123"/>
    </row>
    <row r="456" spans="1:10" ht="15.75" hidden="1" x14ac:dyDescent="0.25">
      <c r="A456" s="169"/>
      <c r="B456" s="274"/>
      <c r="C456" s="176"/>
      <c r="D456" s="175"/>
      <c r="E456" s="175"/>
      <c r="F456" s="175"/>
      <c r="G456" s="175"/>
      <c r="H456" s="176"/>
      <c r="I456" s="176"/>
      <c r="J456" s="123"/>
    </row>
    <row r="457" spans="1:10" ht="52.5" customHeight="1" x14ac:dyDescent="0.25">
      <c r="A457" s="169" t="s">
        <v>306</v>
      </c>
      <c r="B457" s="277" t="s">
        <v>307</v>
      </c>
      <c r="C457" s="171">
        <f t="shared" ref="C457:I459" si="176">C458</f>
        <v>0</v>
      </c>
      <c r="D457" s="171">
        <f t="shared" si="176"/>
        <v>0</v>
      </c>
      <c r="E457" s="171">
        <f t="shared" si="176"/>
        <v>11359000</v>
      </c>
      <c r="F457" s="171">
        <f t="shared" si="176"/>
        <v>0</v>
      </c>
      <c r="G457" s="171">
        <f t="shared" si="176"/>
        <v>11359000</v>
      </c>
      <c r="H457" s="171">
        <f t="shared" si="176"/>
        <v>0</v>
      </c>
      <c r="I457" s="171">
        <f t="shared" si="176"/>
        <v>0</v>
      </c>
      <c r="J457" s="199"/>
    </row>
    <row r="458" spans="1:10" ht="53.25" customHeight="1" x14ac:dyDescent="0.25">
      <c r="A458" s="169" t="s">
        <v>308</v>
      </c>
      <c r="B458" s="278" t="s">
        <v>309</v>
      </c>
      <c r="C458" s="171">
        <f t="shared" si="176"/>
        <v>0</v>
      </c>
      <c r="D458" s="171">
        <f t="shared" si="176"/>
        <v>0</v>
      </c>
      <c r="E458" s="171">
        <f t="shared" si="176"/>
        <v>11359000</v>
      </c>
      <c r="F458" s="171">
        <f t="shared" si="176"/>
        <v>0</v>
      </c>
      <c r="G458" s="171">
        <f t="shared" si="176"/>
        <v>11359000</v>
      </c>
      <c r="H458" s="171">
        <f t="shared" si="176"/>
        <v>0</v>
      </c>
      <c r="I458" s="171">
        <f t="shared" si="176"/>
        <v>0</v>
      </c>
      <c r="J458" s="123"/>
    </row>
    <row r="459" spans="1:10" ht="54" customHeight="1" x14ac:dyDescent="0.25">
      <c r="A459" s="169"/>
      <c r="B459" s="279" t="s">
        <v>164</v>
      </c>
      <c r="C459" s="175">
        <f>C460</f>
        <v>0</v>
      </c>
      <c r="D459" s="175">
        <f t="shared" si="176"/>
        <v>0</v>
      </c>
      <c r="E459" s="175">
        <f t="shared" si="176"/>
        <v>11359000</v>
      </c>
      <c r="F459" s="175">
        <f t="shared" si="176"/>
        <v>0</v>
      </c>
      <c r="G459" s="175">
        <f t="shared" si="176"/>
        <v>11359000</v>
      </c>
      <c r="H459" s="175">
        <f t="shared" si="176"/>
        <v>0</v>
      </c>
      <c r="I459" s="175">
        <f t="shared" si="176"/>
        <v>0</v>
      </c>
      <c r="J459" s="123"/>
    </row>
    <row r="460" spans="1:10" ht="42" customHeight="1" x14ac:dyDescent="0.25">
      <c r="A460" s="169"/>
      <c r="B460" s="274" t="s">
        <v>310</v>
      </c>
      <c r="C460" s="176"/>
      <c r="D460" s="176"/>
      <c r="E460" s="176">
        <v>11359000</v>
      </c>
      <c r="F460" s="176"/>
      <c r="G460" s="176">
        <f>11115400+243600</f>
        <v>11359000</v>
      </c>
      <c r="H460" s="176"/>
      <c r="I460" s="176"/>
      <c r="J460" s="123" t="s">
        <v>706</v>
      </c>
    </row>
    <row r="461" spans="1:10" ht="81" customHeight="1" x14ac:dyDescent="0.25">
      <c r="A461" s="169" t="s">
        <v>20</v>
      </c>
      <c r="B461" s="173" t="s">
        <v>21</v>
      </c>
      <c r="C461" s="171">
        <f>C462+C465+C471+C467+C481+C466</f>
        <v>0</v>
      </c>
      <c r="D461" s="171">
        <f t="shared" ref="D461:I461" si="177">D462+D465+D471+D467+D481+D466</f>
        <v>19742619</v>
      </c>
      <c r="E461" s="171">
        <f t="shared" si="177"/>
        <v>19385245</v>
      </c>
      <c r="F461" s="171">
        <f>F462+F465+F471+F467+F481+F466</f>
        <v>112215696</v>
      </c>
      <c r="G461" s="171">
        <f t="shared" si="177"/>
        <v>20536759</v>
      </c>
      <c r="H461" s="171">
        <f t="shared" si="177"/>
        <v>0</v>
      </c>
      <c r="I461" s="171">
        <f t="shared" si="177"/>
        <v>1175000</v>
      </c>
      <c r="J461" s="199"/>
    </row>
    <row r="462" spans="1:10" ht="46.5" customHeight="1" x14ac:dyDescent="0.25">
      <c r="A462" s="169" t="s">
        <v>206</v>
      </c>
      <c r="B462" s="255" t="s">
        <v>750</v>
      </c>
      <c r="C462" s="171">
        <f t="shared" ref="C462:I463" si="178">C463</f>
        <v>0</v>
      </c>
      <c r="D462" s="171">
        <f t="shared" si="178"/>
        <v>0</v>
      </c>
      <c r="E462" s="171">
        <f t="shared" si="178"/>
        <v>17000000</v>
      </c>
      <c r="F462" s="171">
        <f t="shared" si="178"/>
        <v>0</v>
      </c>
      <c r="G462" s="171">
        <f t="shared" si="178"/>
        <v>17020000</v>
      </c>
      <c r="H462" s="171">
        <f t="shared" si="178"/>
        <v>0</v>
      </c>
      <c r="I462" s="171">
        <f t="shared" si="178"/>
        <v>0</v>
      </c>
      <c r="J462" s="123"/>
    </row>
    <row r="463" spans="1:10" ht="15.75" x14ac:dyDescent="0.25">
      <c r="A463" s="169"/>
      <c r="B463" s="174" t="s">
        <v>41</v>
      </c>
      <c r="C463" s="175">
        <f>C464</f>
        <v>0</v>
      </c>
      <c r="D463" s="175">
        <f t="shared" si="178"/>
        <v>0</v>
      </c>
      <c r="E463" s="175">
        <f t="shared" si="178"/>
        <v>17000000</v>
      </c>
      <c r="F463" s="175">
        <f t="shared" si="178"/>
        <v>0</v>
      </c>
      <c r="G463" s="175">
        <f t="shared" si="178"/>
        <v>17020000</v>
      </c>
      <c r="H463" s="175">
        <f t="shared" si="178"/>
        <v>0</v>
      </c>
      <c r="I463" s="175">
        <f t="shared" si="178"/>
        <v>0</v>
      </c>
      <c r="J463" s="123"/>
    </row>
    <row r="464" spans="1:10" ht="80.25" customHeight="1" x14ac:dyDescent="0.25">
      <c r="A464" s="169"/>
      <c r="B464" s="174"/>
      <c r="C464" s="176"/>
      <c r="D464" s="176"/>
      <c r="E464" s="176">
        <v>17000000</v>
      </c>
      <c r="F464" s="176"/>
      <c r="G464" s="176">
        <f>17000000+20000</f>
        <v>17020000</v>
      </c>
      <c r="H464" s="176"/>
      <c r="I464" s="176"/>
      <c r="J464" s="123" t="s">
        <v>786</v>
      </c>
    </row>
    <row r="465" spans="1:10" ht="78" customHeight="1" x14ac:dyDescent="0.25">
      <c r="A465" s="169" t="s">
        <v>139</v>
      </c>
      <c r="B465" s="173" t="s">
        <v>140</v>
      </c>
      <c r="C465" s="171"/>
      <c r="D465" s="171"/>
      <c r="E465" s="171"/>
      <c r="F465" s="171">
        <f>20000000+50000000</f>
        <v>70000000</v>
      </c>
      <c r="G465" s="171"/>
      <c r="H465" s="171"/>
      <c r="I465" s="171"/>
      <c r="J465" s="123" t="s">
        <v>787</v>
      </c>
    </row>
    <row r="466" spans="1:10" ht="81.75" customHeight="1" x14ac:dyDescent="0.25">
      <c r="A466" s="169" t="s">
        <v>222</v>
      </c>
      <c r="B466" s="173" t="s">
        <v>751</v>
      </c>
      <c r="C466" s="171"/>
      <c r="D466" s="171"/>
      <c r="E466" s="171"/>
      <c r="F466" s="171">
        <v>36919896</v>
      </c>
      <c r="G466" s="171">
        <v>1131514</v>
      </c>
      <c r="H466" s="171"/>
      <c r="I466" s="171"/>
      <c r="J466" s="123" t="s">
        <v>707</v>
      </c>
    </row>
    <row r="467" spans="1:10" ht="53.25" customHeight="1" x14ac:dyDescent="0.25">
      <c r="A467" s="169" t="s">
        <v>141</v>
      </c>
      <c r="B467" s="173" t="s">
        <v>142</v>
      </c>
      <c r="C467" s="171">
        <f t="shared" ref="C467:I467" si="179">C468</f>
        <v>0</v>
      </c>
      <c r="D467" s="171">
        <f t="shared" si="179"/>
        <v>1468549</v>
      </c>
      <c r="E467" s="171">
        <f t="shared" si="179"/>
        <v>2385245</v>
      </c>
      <c r="F467" s="171">
        <f t="shared" si="179"/>
        <v>484400</v>
      </c>
      <c r="G467" s="171">
        <f t="shared" si="179"/>
        <v>2385245</v>
      </c>
      <c r="H467" s="171">
        <f t="shared" si="179"/>
        <v>0</v>
      </c>
      <c r="I467" s="171">
        <f t="shared" si="179"/>
        <v>0</v>
      </c>
      <c r="J467" s="123"/>
    </row>
    <row r="468" spans="1:10" ht="31.5" customHeight="1" x14ac:dyDescent="0.25">
      <c r="A468" s="169"/>
      <c r="B468" s="174" t="s">
        <v>123</v>
      </c>
      <c r="C468" s="175">
        <f>C469+C470</f>
        <v>0</v>
      </c>
      <c r="D468" s="175">
        <f>D469+D470</f>
        <v>1468549</v>
      </c>
      <c r="E468" s="175">
        <f t="shared" ref="E468:I468" si="180">E469+E470</f>
        <v>2385245</v>
      </c>
      <c r="F468" s="175">
        <f t="shared" si="180"/>
        <v>484400</v>
      </c>
      <c r="G468" s="175">
        <f t="shared" si="180"/>
        <v>2385245</v>
      </c>
      <c r="H468" s="175">
        <f t="shared" si="180"/>
        <v>0</v>
      </c>
      <c r="I468" s="175">
        <f t="shared" si="180"/>
        <v>0</v>
      </c>
      <c r="J468" s="123"/>
    </row>
    <row r="469" spans="1:10" ht="42.75" customHeight="1" x14ac:dyDescent="0.25">
      <c r="A469" s="169"/>
      <c r="B469" s="256"/>
      <c r="C469" s="171"/>
      <c r="D469" s="176"/>
      <c r="E469" s="176">
        <v>2385245</v>
      </c>
      <c r="F469" s="176"/>
      <c r="G469" s="176">
        <v>2385245</v>
      </c>
      <c r="H469" s="171"/>
      <c r="I469" s="171"/>
      <c r="J469" s="123" t="s">
        <v>329</v>
      </c>
    </row>
    <row r="470" spans="1:10" ht="27.75" customHeight="1" x14ac:dyDescent="0.25">
      <c r="A470" s="169"/>
      <c r="B470" s="256"/>
      <c r="C470" s="171"/>
      <c r="D470" s="176">
        <v>1468549</v>
      </c>
      <c r="E470" s="176"/>
      <c r="F470" s="176">
        <f>164400+163000+157000</f>
        <v>484400</v>
      </c>
      <c r="G470" s="176"/>
      <c r="H470" s="171"/>
      <c r="I470" s="171"/>
      <c r="J470" s="123" t="s">
        <v>708</v>
      </c>
    </row>
    <row r="471" spans="1:10" ht="38.25" x14ac:dyDescent="0.25">
      <c r="A471" s="169" t="s">
        <v>42</v>
      </c>
      <c r="B471" s="213" t="s">
        <v>43</v>
      </c>
      <c r="C471" s="171">
        <f t="shared" ref="C471:I471" si="181">C472</f>
        <v>0</v>
      </c>
      <c r="D471" s="171">
        <f t="shared" si="181"/>
        <v>12375000</v>
      </c>
      <c r="E471" s="171">
        <f t="shared" si="181"/>
        <v>0</v>
      </c>
      <c r="F471" s="171">
        <f t="shared" si="181"/>
        <v>3811400</v>
      </c>
      <c r="G471" s="171">
        <f t="shared" si="181"/>
        <v>0</v>
      </c>
      <c r="H471" s="171">
        <f t="shared" si="181"/>
        <v>0</v>
      </c>
      <c r="I471" s="171">
        <f t="shared" si="181"/>
        <v>1175000</v>
      </c>
      <c r="J471" s="123"/>
    </row>
    <row r="472" spans="1:10" ht="40.5" customHeight="1" x14ac:dyDescent="0.25">
      <c r="A472" s="195"/>
      <c r="B472" s="257" t="s">
        <v>44</v>
      </c>
      <c r="C472" s="175">
        <f>SUM(C473:C480)</f>
        <v>0</v>
      </c>
      <c r="D472" s="175">
        <f t="shared" ref="D472:I472" si="182">SUM(D473:D480)</f>
        <v>12375000</v>
      </c>
      <c r="E472" s="175">
        <f t="shared" si="182"/>
        <v>0</v>
      </c>
      <c r="F472" s="175">
        <f t="shared" si="182"/>
        <v>3811400</v>
      </c>
      <c r="G472" s="175">
        <f t="shared" si="182"/>
        <v>0</v>
      </c>
      <c r="H472" s="175">
        <f t="shared" si="182"/>
        <v>0</v>
      </c>
      <c r="I472" s="175">
        <f t="shared" si="182"/>
        <v>1175000</v>
      </c>
      <c r="J472" s="123"/>
    </row>
    <row r="473" spans="1:10" ht="25.5" x14ac:dyDescent="0.25">
      <c r="A473" s="195"/>
      <c r="B473" s="212"/>
      <c r="C473" s="176"/>
      <c r="D473" s="176">
        <v>1175000</v>
      </c>
      <c r="E473" s="176"/>
      <c r="F473" s="176">
        <v>1175000</v>
      </c>
      <c r="G473" s="176"/>
      <c r="H473" s="176"/>
      <c r="I473" s="176"/>
      <c r="J473" s="123" t="s">
        <v>563</v>
      </c>
    </row>
    <row r="474" spans="1:10" ht="15.75" hidden="1" x14ac:dyDescent="0.25">
      <c r="A474" s="169"/>
      <c r="B474" s="212"/>
      <c r="C474" s="176"/>
      <c r="D474" s="176">
        <v>5000000</v>
      </c>
      <c r="E474" s="176"/>
      <c r="F474" s="176"/>
      <c r="G474" s="176"/>
      <c r="H474" s="176"/>
      <c r="I474" s="176"/>
      <c r="J474" s="232"/>
    </row>
    <row r="475" spans="1:10" ht="15.75" hidden="1" x14ac:dyDescent="0.25">
      <c r="A475" s="169"/>
      <c r="B475" s="212"/>
      <c r="C475" s="176"/>
      <c r="D475" s="176">
        <v>1700000</v>
      </c>
      <c r="E475" s="176"/>
      <c r="F475" s="176"/>
      <c r="G475" s="176"/>
      <c r="H475" s="176"/>
      <c r="I475" s="176"/>
      <c r="J475" s="232"/>
    </row>
    <row r="476" spans="1:10" ht="38.25" x14ac:dyDescent="0.25">
      <c r="A476" s="169"/>
      <c r="B476" s="212"/>
      <c r="C476" s="176"/>
      <c r="D476" s="176">
        <v>2500000</v>
      </c>
      <c r="E476" s="176"/>
      <c r="F476" s="176">
        <f>1500000+1136400</f>
        <v>2636400</v>
      </c>
      <c r="G476" s="176"/>
      <c r="H476" s="176"/>
      <c r="I476" s="176"/>
      <c r="J476" s="232" t="s">
        <v>736</v>
      </c>
    </row>
    <row r="477" spans="1:10" ht="15.75" hidden="1" x14ac:dyDescent="0.25">
      <c r="A477" s="169"/>
      <c r="B477" s="212"/>
      <c r="C477" s="176"/>
      <c r="D477" s="176">
        <v>2000000</v>
      </c>
      <c r="E477" s="176"/>
      <c r="F477" s="176"/>
      <c r="G477" s="176"/>
      <c r="H477" s="176"/>
      <c r="I477" s="176"/>
      <c r="J477" s="232"/>
    </row>
    <row r="478" spans="1:10" ht="15.75" hidden="1" x14ac:dyDescent="0.25">
      <c r="A478" s="169"/>
      <c r="B478" s="212"/>
      <c r="C478" s="176"/>
      <c r="D478" s="176"/>
      <c r="E478" s="176"/>
      <c r="F478" s="176"/>
      <c r="G478" s="176"/>
      <c r="H478" s="176"/>
      <c r="I478" s="176">
        <v>1175000</v>
      </c>
      <c r="J478" s="232"/>
    </row>
    <row r="479" spans="1:10" ht="15.75" hidden="1" x14ac:dyDescent="0.25">
      <c r="A479" s="169"/>
      <c r="B479" s="212"/>
      <c r="C479" s="176"/>
      <c r="D479" s="176"/>
      <c r="E479" s="176"/>
      <c r="F479" s="176"/>
      <c r="G479" s="176"/>
      <c r="H479" s="176"/>
      <c r="I479" s="176"/>
      <c r="J479" s="232"/>
    </row>
    <row r="480" spans="1:10" ht="15.75" hidden="1" x14ac:dyDescent="0.25">
      <c r="A480" s="169"/>
      <c r="B480" s="212"/>
      <c r="C480" s="176"/>
      <c r="D480" s="176"/>
      <c r="E480" s="176"/>
      <c r="F480" s="176"/>
      <c r="G480" s="176"/>
      <c r="H480" s="176"/>
      <c r="I480" s="176"/>
      <c r="J480" s="232"/>
    </row>
    <row r="481" spans="1:10" ht="51" x14ac:dyDescent="0.25">
      <c r="A481" s="169" t="s">
        <v>727</v>
      </c>
      <c r="B481" s="247" t="s">
        <v>156</v>
      </c>
      <c r="C481" s="171">
        <f>C482</f>
        <v>0</v>
      </c>
      <c r="D481" s="171">
        <f t="shared" ref="D481:I481" si="183">D482</f>
        <v>5899070</v>
      </c>
      <c r="E481" s="171">
        <f t="shared" si="183"/>
        <v>0</v>
      </c>
      <c r="F481" s="171">
        <f t="shared" si="183"/>
        <v>1000000</v>
      </c>
      <c r="G481" s="171">
        <f t="shared" si="183"/>
        <v>0</v>
      </c>
      <c r="H481" s="171">
        <f t="shared" si="183"/>
        <v>0</v>
      </c>
      <c r="I481" s="171">
        <f t="shared" si="183"/>
        <v>0</v>
      </c>
      <c r="J481" s="123"/>
    </row>
    <row r="482" spans="1:10" ht="39.75" customHeight="1" x14ac:dyDescent="0.25">
      <c r="A482" s="169"/>
      <c r="B482" s="257" t="s">
        <v>44</v>
      </c>
      <c r="C482" s="175">
        <f>C483+C484</f>
        <v>0</v>
      </c>
      <c r="D482" s="175">
        <f t="shared" ref="D482:I482" si="184">D483+D484</f>
        <v>5899070</v>
      </c>
      <c r="E482" s="175">
        <f t="shared" si="184"/>
        <v>0</v>
      </c>
      <c r="F482" s="175">
        <f t="shared" ref="F482:G482" si="185">F483+F484</f>
        <v>1000000</v>
      </c>
      <c r="G482" s="175">
        <f t="shared" si="185"/>
        <v>0</v>
      </c>
      <c r="H482" s="175">
        <f t="shared" si="184"/>
        <v>0</v>
      </c>
      <c r="I482" s="175">
        <f t="shared" si="184"/>
        <v>0</v>
      </c>
      <c r="J482" s="123"/>
    </row>
    <row r="483" spans="1:10" ht="41.25" customHeight="1" x14ac:dyDescent="0.25">
      <c r="A483" s="169"/>
      <c r="B483" s="257"/>
      <c r="C483" s="176"/>
      <c r="D483" s="176">
        <v>5899070</v>
      </c>
      <c r="E483" s="176"/>
      <c r="F483" s="176">
        <v>1000000</v>
      </c>
      <c r="G483" s="176"/>
      <c r="H483" s="176"/>
      <c r="I483" s="176"/>
      <c r="J483" s="232" t="s">
        <v>660</v>
      </c>
    </row>
    <row r="484" spans="1:10" ht="15.75" hidden="1" x14ac:dyDescent="0.25">
      <c r="A484" s="169"/>
      <c r="B484" s="257"/>
      <c r="C484" s="176"/>
      <c r="D484" s="176"/>
      <c r="E484" s="176"/>
      <c r="F484" s="176"/>
      <c r="G484" s="176"/>
      <c r="H484" s="176"/>
      <c r="I484" s="176"/>
      <c r="J484" s="232"/>
    </row>
    <row r="485" spans="1:10" ht="54.75" customHeight="1" x14ac:dyDescent="0.25">
      <c r="A485" s="169" t="s">
        <v>89</v>
      </c>
      <c r="B485" s="214" t="s">
        <v>87</v>
      </c>
      <c r="C485" s="171">
        <f t="shared" ref="C485:I485" si="186">C486+C494</f>
        <v>0</v>
      </c>
      <c r="D485" s="171">
        <f t="shared" si="186"/>
        <v>46925648</v>
      </c>
      <c r="E485" s="171">
        <f t="shared" si="186"/>
        <v>0</v>
      </c>
      <c r="F485" s="171">
        <f t="shared" ref="F485:G485" si="187">F486+F494</f>
        <v>29980838</v>
      </c>
      <c r="G485" s="171">
        <f t="shared" si="187"/>
        <v>0</v>
      </c>
      <c r="H485" s="171">
        <f t="shared" si="186"/>
        <v>0</v>
      </c>
      <c r="I485" s="171">
        <f t="shared" si="186"/>
        <v>0</v>
      </c>
      <c r="J485" s="123"/>
    </row>
    <row r="486" spans="1:10" ht="89.25" hidden="1" x14ac:dyDescent="0.25">
      <c r="A486" s="169" t="s">
        <v>90</v>
      </c>
      <c r="B486" s="213" t="s">
        <v>88</v>
      </c>
      <c r="C486" s="171">
        <f>C487</f>
        <v>0</v>
      </c>
      <c r="D486" s="171">
        <f t="shared" ref="D486:I486" si="188">D487</f>
        <v>0</v>
      </c>
      <c r="E486" s="171">
        <f t="shared" si="188"/>
        <v>0</v>
      </c>
      <c r="F486" s="171">
        <f t="shared" si="188"/>
        <v>0</v>
      </c>
      <c r="G486" s="171">
        <f t="shared" si="188"/>
        <v>0</v>
      </c>
      <c r="H486" s="171">
        <f t="shared" si="188"/>
        <v>0</v>
      </c>
      <c r="I486" s="171">
        <f t="shared" si="188"/>
        <v>0</v>
      </c>
      <c r="J486" s="123"/>
    </row>
    <row r="487" spans="1:10" ht="25.5" hidden="1" x14ac:dyDescent="0.25">
      <c r="A487" s="169"/>
      <c r="B487" s="174" t="s">
        <v>35</v>
      </c>
      <c r="C487" s="175">
        <f t="shared" ref="C487" si="189">C488+C489+C490+C492+C493+C491</f>
        <v>0</v>
      </c>
      <c r="D487" s="175">
        <f>D488+D489+D490+D492+D493+D491</f>
        <v>0</v>
      </c>
      <c r="E487" s="175">
        <f t="shared" ref="E487:I487" si="190">E488+E489+E490+E492+E493+E491</f>
        <v>0</v>
      </c>
      <c r="F487" s="175">
        <f>F488+F489+F490+F492+F493+F491</f>
        <v>0</v>
      </c>
      <c r="G487" s="175">
        <f t="shared" ref="G487" si="191">G488+G489+G490+G492+G493+G491</f>
        <v>0</v>
      </c>
      <c r="H487" s="175">
        <f t="shared" si="190"/>
        <v>0</v>
      </c>
      <c r="I487" s="175">
        <f t="shared" si="190"/>
        <v>0</v>
      </c>
      <c r="J487" s="123"/>
    </row>
    <row r="488" spans="1:10" ht="15.75" hidden="1" x14ac:dyDescent="0.25">
      <c r="A488" s="169"/>
      <c r="B488" s="258"/>
      <c r="C488" s="171"/>
      <c r="D488" s="171"/>
      <c r="E488" s="171"/>
      <c r="F488" s="171"/>
      <c r="G488" s="171"/>
      <c r="H488" s="176"/>
      <c r="I488" s="176"/>
      <c r="J488" s="249"/>
    </row>
    <row r="489" spans="1:10" ht="15.75" hidden="1" x14ac:dyDescent="0.25">
      <c r="A489" s="169"/>
      <c r="B489" s="258"/>
      <c r="C489" s="171"/>
      <c r="D489" s="176"/>
      <c r="E489" s="171"/>
      <c r="F489" s="176"/>
      <c r="G489" s="171"/>
      <c r="H489" s="171"/>
      <c r="I489" s="171"/>
      <c r="J489" s="274"/>
    </row>
    <row r="490" spans="1:10" ht="15.75" hidden="1" x14ac:dyDescent="0.25">
      <c r="A490" s="169"/>
      <c r="B490" s="258"/>
      <c r="C490" s="171"/>
      <c r="D490" s="176"/>
      <c r="E490" s="171"/>
      <c r="F490" s="176"/>
      <c r="G490" s="171"/>
      <c r="H490" s="171"/>
      <c r="I490" s="171"/>
      <c r="J490" s="274"/>
    </row>
    <row r="491" spans="1:10" ht="15.75" hidden="1" x14ac:dyDescent="0.25">
      <c r="A491" s="169"/>
      <c r="B491" s="258"/>
      <c r="C491" s="171"/>
      <c r="D491" s="176"/>
      <c r="E491" s="171"/>
      <c r="F491" s="176"/>
      <c r="G491" s="171"/>
      <c r="H491" s="171"/>
      <c r="I491" s="171"/>
      <c r="J491" s="274"/>
    </row>
    <row r="492" spans="1:10" ht="15.75" hidden="1" x14ac:dyDescent="0.25">
      <c r="A492" s="169"/>
      <c r="B492" s="213"/>
      <c r="C492" s="171"/>
      <c r="D492" s="176"/>
      <c r="E492" s="171"/>
      <c r="F492" s="176"/>
      <c r="G492" s="171"/>
      <c r="H492" s="171"/>
      <c r="I492" s="171"/>
      <c r="J492" s="232"/>
    </row>
    <row r="493" spans="1:10" ht="15.75" hidden="1" x14ac:dyDescent="0.25">
      <c r="A493" s="169"/>
      <c r="B493" s="213"/>
      <c r="C493" s="171"/>
      <c r="D493" s="176"/>
      <c r="E493" s="171"/>
      <c r="F493" s="176"/>
      <c r="G493" s="171"/>
      <c r="H493" s="176"/>
      <c r="I493" s="176"/>
      <c r="J493" s="232"/>
    </row>
    <row r="494" spans="1:10" ht="79.5" customHeight="1" x14ac:dyDescent="0.25">
      <c r="A494" s="169" t="s">
        <v>113</v>
      </c>
      <c r="B494" s="213" t="s">
        <v>752</v>
      </c>
      <c r="C494" s="171">
        <f t="shared" ref="C494:I494" si="192">C495</f>
        <v>0</v>
      </c>
      <c r="D494" s="171">
        <f t="shared" si="192"/>
        <v>46925648</v>
      </c>
      <c r="E494" s="171">
        <f t="shared" si="192"/>
        <v>0</v>
      </c>
      <c r="F494" s="171">
        <f t="shared" si="192"/>
        <v>29980838</v>
      </c>
      <c r="G494" s="171">
        <f t="shared" si="192"/>
        <v>0</v>
      </c>
      <c r="H494" s="171">
        <f t="shared" si="192"/>
        <v>0</v>
      </c>
      <c r="I494" s="171">
        <f t="shared" si="192"/>
        <v>0</v>
      </c>
      <c r="J494" s="123"/>
    </row>
    <row r="495" spans="1:10" ht="32.25" customHeight="1" x14ac:dyDescent="0.25">
      <c r="A495" s="169"/>
      <c r="B495" s="174" t="s">
        <v>35</v>
      </c>
      <c r="C495" s="175">
        <f>SUM(C496:C502)</f>
        <v>0</v>
      </c>
      <c r="D495" s="175">
        <f t="shared" ref="D495:I495" si="193">SUM(D496:D502)</f>
        <v>46925648</v>
      </c>
      <c r="E495" s="175">
        <f t="shared" si="193"/>
        <v>0</v>
      </c>
      <c r="F495" s="175">
        <f t="shared" si="193"/>
        <v>29980838</v>
      </c>
      <c r="G495" s="175">
        <f t="shared" si="193"/>
        <v>0</v>
      </c>
      <c r="H495" s="175">
        <f t="shared" si="193"/>
        <v>0</v>
      </c>
      <c r="I495" s="175">
        <f t="shared" si="193"/>
        <v>0</v>
      </c>
      <c r="J495" s="123"/>
    </row>
    <row r="496" spans="1:10" ht="41.25" customHeight="1" x14ac:dyDescent="0.25">
      <c r="A496" s="169"/>
      <c r="B496" s="258"/>
      <c r="C496" s="176"/>
      <c r="D496" s="176">
        <v>29981129</v>
      </c>
      <c r="E496" s="176"/>
      <c r="F496" s="176">
        <f>26909838+3071000</f>
        <v>29980838</v>
      </c>
      <c r="G496" s="176"/>
      <c r="H496" s="176"/>
      <c r="I496" s="176"/>
      <c r="J496" s="123" t="s">
        <v>788</v>
      </c>
    </row>
    <row r="497" spans="1:10" ht="51" hidden="1" x14ac:dyDescent="0.25">
      <c r="A497" s="169"/>
      <c r="B497" s="258"/>
      <c r="C497" s="176"/>
      <c r="D497" s="176">
        <v>15957262</v>
      </c>
      <c r="E497" s="176"/>
      <c r="F497" s="176"/>
      <c r="G497" s="176"/>
      <c r="H497" s="176"/>
      <c r="I497" s="176"/>
      <c r="J497" s="123" t="s">
        <v>569</v>
      </c>
    </row>
    <row r="498" spans="1:10" ht="76.5" hidden="1" x14ac:dyDescent="0.25">
      <c r="A498" s="169"/>
      <c r="B498" s="258"/>
      <c r="C498" s="171"/>
      <c r="D498" s="176">
        <v>987257</v>
      </c>
      <c r="E498" s="171"/>
      <c r="F498" s="176"/>
      <c r="G498" s="171"/>
      <c r="H498" s="171"/>
      <c r="I498" s="171"/>
      <c r="J498" s="123" t="s">
        <v>570</v>
      </c>
    </row>
    <row r="499" spans="1:10" ht="15.75" hidden="1" x14ac:dyDescent="0.25">
      <c r="A499" s="169"/>
      <c r="B499" s="258"/>
      <c r="C499" s="171"/>
      <c r="D499" s="176"/>
      <c r="E499" s="171"/>
      <c r="F499" s="176"/>
      <c r="G499" s="171"/>
      <c r="H499" s="171"/>
      <c r="I499" s="171"/>
      <c r="J499" s="123"/>
    </row>
    <row r="500" spans="1:10" ht="15.75" hidden="1" x14ac:dyDescent="0.25">
      <c r="A500" s="169"/>
      <c r="B500" s="258"/>
      <c r="C500" s="171"/>
      <c r="D500" s="176"/>
      <c r="E500" s="171"/>
      <c r="F500" s="176"/>
      <c r="G500" s="171"/>
      <c r="H500" s="171"/>
      <c r="I500" s="171"/>
      <c r="J500" s="123"/>
    </row>
    <row r="501" spans="1:10" ht="15.75" hidden="1" x14ac:dyDescent="0.25">
      <c r="A501" s="169"/>
      <c r="B501" s="258"/>
      <c r="C501" s="171"/>
      <c r="D501" s="176"/>
      <c r="E501" s="171"/>
      <c r="F501" s="176"/>
      <c r="G501" s="171"/>
      <c r="H501" s="171"/>
      <c r="I501" s="171"/>
      <c r="J501" s="123"/>
    </row>
    <row r="502" spans="1:10" ht="15.75" hidden="1" x14ac:dyDescent="0.25">
      <c r="A502" s="169"/>
      <c r="B502" s="258"/>
      <c r="C502" s="171"/>
      <c r="D502" s="176"/>
      <c r="E502" s="171"/>
      <c r="F502" s="176"/>
      <c r="G502" s="171"/>
      <c r="H502" s="171"/>
      <c r="I502" s="171"/>
      <c r="J502" s="123"/>
    </row>
    <row r="503" spans="1:10" ht="53.25" customHeight="1" x14ac:dyDescent="0.25">
      <c r="A503" s="169" t="s">
        <v>92</v>
      </c>
      <c r="B503" s="214" t="s">
        <v>91</v>
      </c>
      <c r="C503" s="171">
        <f>C504+C507+C513</f>
        <v>0</v>
      </c>
      <c r="D503" s="171">
        <f t="shared" ref="D503:I503" si="194">D504+D507+D513</f>
        <v>518946</v>
      </c>
      <c r="E503" s="171">
        <f t="shared" si="194"/>
        <v>0</v>
      </c>
      <c r="F503" s="171">
        <f t="shared" ref="F503:G503" si="195">F504+F507+F513</f>
        <v>415946</v>
      </c>
      <c r="G503" s="171">
        <f t="shared" si="195"/>
        <v>0</v>
      </c>
      <c r="H503" s="171">
        <f t="shared" si="194"/>
        <v>0</v>
      </c>
      <c r="I503" s="171">
        <f t="shared" si="194"/>
        <v>79937</v>
      </c>
      <c r="J503" s="123"/>
    </row>
    <row r="504" spans="1:10" ht="38.25" hidden="1" x14ac:dyDescent="0.25">
      <c r="A504" s="169" t="s">
        <v>94</v>
      </c>
      <c r="B504" s="213" t="s">
        <v>93</v>
      </c>
      <c r="C504" s="171">
        <f>C505</f>
        <v>0</v>
      </c>
      <c r="D504" s="171">
        <f t="shared" ref="D504:I505" si="196">D505</f>
        <v>0</v>
      </c>
      <c r="E504" s="171">
        <f t="shared" si="196"/>
        <v>0</v>
      </c>
      <c r="F504" s="171">
        <f t="shared" si="196"/>
        <v>0</v>
      </c>
      <c r="G504" s="171">
        <f t="shared" si="196"/>
        <v>0</v>
      </c>
      <c r="H504" s="171">
        <f t="shared" si="196"/>
        <v>0</v>
      </c>
      <c r="I504" s="171">
        <f t="shared" si="196"/>
        <v>0</v>
      </c>
      <c r="J504" s="123"/>
    </row>
    <row r="505" spans="1:10" ht="15.75" hidden="1" x14ac:dyDescent="0.25">
      <c r="A505" s="169"/>
      <c r="B505" s="157" t="s">
        <v>36</v>
      </c>
      <c r="C505" s="175">
        <f>C506</f>
        <v>0</v>
      </c>
      <c r="D505" s="175">
        <f t="shared" si="196"/>
        <v>0</v>
      </c>
      <c r="E505" s="175">
        <f t="shared" si="196"/>
        <v>0</v>
      </c>
      <c r="F505" s="175">
        <f t="shared" si="196"/>
        <v>0</v>
      </c>
      <c r="G505" s="175">
        <f t="shared" si="196"/>
        <v>0</v>
      </c>
      <c r="H505" s="175">
        <f t="shared" si="196"/>
        <v>0</v>
      </c>
      <c r="I505" s="175">
        <f t="shared" si="196"/>
        <v>0</v>
      </c>
      <c r="J505" s="123"/>
    </row>
    <row r="506" spans="1:10" ht="15.75" hidden="1" x14ac:dyDescent="0.25">
      <c r="A506" s="169"/>
      <c r="B506" s="212"/>
      <c r="C506" s="176"/>
      <c r="D506" s="176"/>
      <c r="E506" s="176"/>
      <c r="F506" s="176"/>
      <c r="G506" s="176"/>
      <c r="H506" s="176"/>
      <c r="I506" s="176"/>
      <c r="J506" s="123"/>
    </row>
    <row r="507" spans="1:10" ht="29.25" customHeight="1" x14ac:dyDescent="0.25">
      <c r="A507" s="169" t="s">
        <v>115</v>
      </c>
      <c r="B507" s="247" t="s">
        <v>116</v>
      </c>
      <c r="C507" s="171">
        <f t="shared" ref="C507:I507" si="197">C508+C511</f>
        <v>0</v>
      </c>
      <c r="D507" s="171">
        <f t="shared" si="197"/>
        <v>518946</v>
      </c>
      <c r="E507" s="171">
        <f t="shared" si="197"/>
        <v>0</v>
      </c>
      <c r="F507" s="171">
        <f t="shared" ref="F507:G507" si="198">F508+F511</f>
        <v>415946</v>
      </c>
      <c r="G507" s="171">
        <f t="shared" si="198"/>
        <v>0</v>
      </c>
      <c r="H507" s="171">
        <f t="shared" si="197"/>
        <v>0</v>
      </c>
      <c r="I507" s="171">
        <f t="shared" si="197"/>
        <v>0</v>
      </c>
      <c r="J507" s="123"/>
    </row>
    <row r="508" spans="1:10" ht="15.75" x14ac:dyDescent="0.25">
      <c r="A508" s="169"/>
      <c r="B508" s="157" t="s">
        <v>36</v>
      </c>
      <c r="C508" s="175">
        <f>C510+C509</f>
        <v>0</v>
      </c>
      <c r="D508" s="175">
        <f t="shared" ref="D508:I508" si="199">D510+D509</f>
        <v>518946</v>
      </c>
      <c r="E508" s="175">
        <f t="shared" si="199"/>
        <v>0</v>
      </c>
      <c r="F508" s="175">
        <f t="shared" ref="F508:G508" si="200">F510+F509</f>
        <v>415946</v>
      </c>
      <c r="G508" s="175">
        <f t="shared" si="200"/>
        <v>0</v>
      </c>
      <c r="H508" s="175">
        <f t="shared" si="199"/>
        <v>0</v>
      </c>
      <c r="I508" s="175">
        <f t="shared" si="199"/>
        <v>0</v>
      </c>
      <c r="J508" s="123"/>
    </row>
    <row r="509" spans="1:10" ht="29.25" customHeight="1" x14ac:dyDescent="0.25">
      <c r="A509" s="169"/>
      <c r="B509" s="212" t="s">
        <v>728</v>
      </c>
      <c r="C509" s="175"/>
      <c r="D509" s="176">
        <v>415946</v>
      </c>
      <c r="E509" s="175"/>
      <c r="F509" s="176">
        <v>415946</v>
      </c>
      <c r="G509" s="175"/>
      <c r="H509" s="175"/>
      <c r="I509" s="175"/>
      <c r="J509" s="232" t="s">
        <v>333</v>
      </c>
    </row>
    <row r="510" spans="1:10" ht="25.5" hidden="1" x14ac:dyDescent="0.25">
      <c r="A510" s="169"/>
      <c r="B510" s="212" t="s">
        <v>334</v>
      </c>
      <c r="C510" s="176"/>
      <c r="D510" s="176">
        <v>103000</v>
      </c>
      <c r="E510" s="176"/>
      <c r="F510" s="176"/>
      <c r="G510" s="176"/>
      <c r="H510" s="176"/>
      <c r="I510" s="176"/>
      <c r="J510" s="123" t="s">
        <v>335</v>
      </c>
    </row>
    <row r="511" spans="1:10" ht="25.5" hidden="1" x14ac:dyDescent="0.25">
      <c r="A511" s="169"/>
      <c r="B511" s="200" t="s">
        <v>81</v>
      </c>
      <c r="C511" s="176">
        <f>C512</f>
        <v>0</v>
      </c>
      <c r="D511" s="176">
        <f t="shared" ref="D511:I511" si="201">D512</f>
        <v>0</v>
      </c>
      <c r="E511" s="176">
        <f t="shared" si="201"/>
        <v>0</v>
      </c>
      <c r="F511" s="176">
        <f t="shared" si="201"/>
        <v>0</v>
      </c>
      <c r="G511" s="176">
        <f t="shared" si="201"/>
        <v>0</v>
      </c>
      <c r="H511" s="176">
        <f t="shared" si="201"/>
        <v>0</v>
      </c>
      <c r="I511" s="176">
        <f t="shared" si="201"/>
        <v>0</v>
      </c>
      <c r="J511" s="123"/>
    </row>
    <row r="512" spans="1:10" ht="15.75" hidden="1" x14ac:dyDescent="0.25">
      <c r="A512" s="169"/>
      <c r="B512" s="200"/>
      <c r="C512" s="175"/>
      <c r="D512" s="175"/>
      <c r="E512" s="175"/>
      <c r="F512" s="175"/>
      <c r="G512" s="175"/>
      <c r="H512" s="175"/>
      <c r="I512" s="175"/>
      <c r="J512" s="123"/>
    </row>
    <row r="513" spans="1:11" s="251" customFormat="1" ht="51" hidden="1" x14ac:dyDescent="0.25">
      <c r="A513" s="169" t="s">
        <v>217</v>
      </c>
      <c r="B513" s="213" t="s">
        <v>218</v>
      </c>
      <c r="C513" s="171">
        <f>C514</f>
        <v>0</v>
      </c>
      <c r="D513" s="171">
        <f t="shared" ref="D513:I513" si="202">D514</f>
        <v>0</v>
      </c>
      <c r="E513" s="171">
        <f t="shared" si="202"/>
        <v>0</v>
      </c>
      <c r="F513" s="171">
        <f t="shared" si="202"/>
        <v>0</v>
      </c>
      <c r="G513" s="171">
        <f t="shared" si="202"/>
        <v>0</v>
      </c>
      <c r="H513" s="171">
        <f t="shared" si="202"/>
        <v>0</v>
      </c>
      <c r="I513" s="171">
        <f t="shared" si="202"/>
        <v>79937</v>
      </c>
      <c r="J513" s="173"/>
      <c r="K513" s="250"/>
    </row>
    <row r="514" spans="1:11" ht="15.75" hidden="1" x14ac:dyDescent="0.25">
      <c r="A514" s="169"/>
      <c r="B514" s="157" t="s">
        <v>36</v>
      </c>
      <c r="C514" s="175">
        <f>C515+C516+C517</f>
        <v>0</v>
      </c>
      <c r="D514" s="175">
        <f t="shared" ref="D514:I514" si="203">D515+D516+D517</f>
        <v>0</v>
      </c>
      <c r="E514" s="175">
        <f t="shared" si="203"/>
        <v>0</v>
      </c>
      <c r="F514" s="175">
        <f t="shared" ref="F514:G514" si="204">F515+F516+F517</f>
        <v>0</v>
      </c>
      <c r="G514" s="175">
        <f t="shared" si="204"/>
        <v>0</v>
      </c>
      <c r="H514" s="175">
        <f t="shared" si="203"/>
        <v>0</v>
      </c>
      <c r="I514" s="175">
        <f t="shared" si="203"/>
        <v>79937</v>
      </c>
      <c r="J514" s="123"/>
    </row>
    <row r="515" spans="1:11" ht="15.75" hidden="1" x14ac:dyDescent="0.25">
      <c r="A515" s="169"/>
      <c r="B515" s="200"/>
      <c r="C515" s="176"/>
      <c r="D515" s="176"/>
      <c r="E515" s="176"/>
      <c r="F515" s="176"/>
      <c r="G515" s="176"/>
      <c r="H515" s="176"/>
      <c r="I515" s="176">
        <v>79937</v>
      </c>
      <c r="J515" s="123"/>
    </row>
    <row r="516" spans="1:11" ht="15.75" hidden="1" x14ac:dyDescent="0.25">
      <c r="A516" s="169"/>
      <c r="B516" s="200"/>
      <c r="C516" s="175"/>
      <c r="D516" s="176"/>
      <c r="E516" s="175"/>
      <c r="F516" s="176"/>
      <c r="G516" s="175"/>
      <c r="H516" s="175"/>
      <c r="I516" s="175"/>
      <c r="J516" s="123"/>
    </row>
    <row r="517" spans="1:11" ht="15.75" hidden="1" x14ac:dyDescent="0.25">
      <c r="A517" s="169"/>
      <c r="B517" s="212"/>
      <c r="C517" s="175"/>
      <c r="D517" s="175"/>
      <c r="E517" s="175"/>
      <c r="F517" s="175"/>
      <c r="G517" s="175"/>
      <c r="H517" s="175"/>
      <c r="I517" s="175"/>
      <c r="J517" s="232"/>
    </row>
    <row r="518" spans="1:11" ht="38.25" hidden="1" x14ac:dyDescent="0.25">
      <c r="A518" s="169" t="s">
        <v>97</v>
      </c>
      <c r="B518" s="214" t="s">
        <v>95</v>
      </c>
      <c r="C518" s="171">
        <f>C519+C525</f>
        <v>0</v>
      </c>
      <c r="D518" s="171">
        <f t="shared" ref="D518:I518" si="205">D519+D525</f>
        <v>0</v>
      </c>
      <c r="E518" s="171">
        <f t="shared" si="205"/>
        <v>536920</v>
      </c>
      <c r="F518" s="171">
        <f t="shared" ref="F518:G518" si="206">F519+F525</f>
        <v>0</v>
      </c>
      <c r="G518" s="171">
        <f t="shared" si="206"/>
        <v>0</v>
      </c>
      <c r="H518" s="171">
        <f t="shared" si="205"/>
        <v>0</v>
      </c>
      <c r="I518" s="171">
        <f t="shared" si="205"/>
        <v>0</v>
      </c>
      <c r="J518" s="123"/>
    </row>
    <row r="519" spans="1:11" ht="76.5" hidden="1" x14ac:dyDescent="0.25">
      <c r="A519" s="169" t="s">
        <v>98</v>
      </c>
      <c r="B519" s="213" t="s">
        <v>96</v>
      </c>
      <c r="C519" s="171">
        <f>C520+C523</f>
        <v>0</v>
      </c>
      <c r="D519" s="171">
        <f t="shared" ref="D519:I519" si="207">D520+D523</f>
        <v>0</v>
      </c>
      <c r="E519" s="171">
        <f t="shared" si="207"/>
        <v>0</v>
      </c>
      <c r="F519" s="171">
        <f t="shared" ref="F519:G519" si="208">F520+F523</f>
        <v>0</v>
      </c>
      <c r="G519" s="171">
        <f t="shared" si="208"/>
        <v>0</v>
      </c>
      <c r="H519" s="171">
        <f t="shared" si="207"/>
        <v>0</v>
      </c>
      <c r="I519" s="171">
        <f t="shared" si="207"/>
        <v>0</v>
      </c>
      <c r="J519" s="123"/>
    </row>
    <row r="520" spans="1:11" ht="15.75" hidden="1" x14ac:dyDescent="0.25">
      <c r="A520" s="169"/>
      <c r="B520" s="157" t="s">
        <v>36</v>
      </c>
      <c r="C520" s="175">
        <f t="shared" ref="C520:I520" si="209">SUM(C521:C522)</f>
        <v>0</v>
      </c>
      <c r="D520" s="175">
        <f t="shared" si="209"/>
        <v>0</v>
      </c>
      <c r="E520" s="175">
        <f t="shared" si="209"/>
        <v>0</v>
      </c>
      <c r="F520" s="175">
        <f t="shared" ref="F520:G520" si="210">SUM(F521:F522)</f>
        <v>0</v>
      </c>
      <c r="G520" s="175">
        <f t="shared" si="210"/>
        <v>0</v>
      </c>
      <c r="H520" s="175">
        <f t="shared" si="209"/>
        <v>0</v>
      </c>
      <c r="I520" s="175">
        <f t="shared" si="209"/>
        <v>0</v>
      </c>
      <c r="J520" s="123"/>
    </row>
    <row r="521" spans="1:11" ht="15.75" hidden="1" x14ac:dyDescent="0.25">
      <c r="A521" s="169"/>
      <c r="B521" s="212"/>
      <c r="C521" s="175"/>
      <c r="D521" s="176"/>
      <c r="E521" s="175"/>
      <c r="F521" s="176"/>
      <c r="G521" s="175"/>
      <c r="H521" s="175"/>
      <c r="I521" s="175"/>
      <c r="J521" s="232"/>
    </row>
    <row r="522" spans="1:11" ht="15.75" hidden="1" x14ac:dyDescent="0.25">
      <c r="A522" s="169"/>
      <c r="B522" s="212"/>
      <c r="C522" s="171"/>
      <c r="D522" s="176"/>
      <c r="E522" s="176"/>
      <c r="F522" s="176"/>
      <c r="G522" s="176"/>
      <c r="H522" s="171"/>
      <c r="I522" s="171"/>
      <c r="J522" s="232"/>
    </row>
    <row r="523" spans="1:11" ht="25.5" hidden="1" x14ac:dyDescent="0.25">
      <c r="A523" s="169"/>
      <c r="B523" s="157" t="s">
        <v>81</v>
      </c>
      <c r="C523" s="171">
        <f>C524</f>
        <v>0</v>
      </c>
      <c r="D523" s="171">
        <f t="shared" ref="D523:I523" si="211">D524</f>
        <v>0</v>
      </c>
      <c r="E523" s="171">
        <f t="shared" si="211"/>
        <v>0</v>
      </c>
      <c r="F523" s="171">
        <f t="shared" si="211"/>
        <v>0</v>
      </c>
      <c r="G523" s="171">
        <f t="shared" si="211"/>
        <v>0</v>
      </c>
      <c r="H523" s="171">
        <f t="shared" si="211"/>
        <v>0</v>
      </c>
      <c r="I523" s="171">
        <f t="shared" si="211"/>
        <v>0</v>
      </c>
      <c r="J523" s="274"/>
    </row>
    <row r="524" spans="1:11" ht="15.75" hidden="1" x14ac:dyDescent="0.25">
      <c r="A524" s="169"/>
      <c r="B524" s="212"/>
      <c r="C524" s="171"/>
      <c r="D524" s="176"/>
      <c r="E524" s="176"/>
      <c r="F524" s="176"/>
      <c r="G524" s="176"/>
      <c r="H524" s="171"/>
      <c r="I524" s="171"/>
      <c r="J524" s="274"/>
    </row>
    <row r="525" spans="1:11" ht="51" hidden="1" x14ac:dyDescent="0.25">
      <c r="A525" s="169" t="s">
        <v>157</v>
      </c>
      <c r="B525" s="247" t="s">
        <v>158</v>
      </c>
      <c r="C525" s="171">
        <f>C526</f>
        <v>0</v>
      </c>
      <c r="D525" s="171">
        <f t="shared" ref="D525:I525" si="212">D526</f>
        <v>0</v>
      </c>
      <c r="E525" s="171">
        <f t="shared" si="212"/>
        <v>536920</v>
      </c>
      <c r="F525" s="171">
        <f t="shared" si="212"/>
        <v>0</v>
      </c>
      <c r="G525" s="171">
        <f t="shared" si="212"/>
        <v>0</v>
      </c>
      <c r="H525" s="171">
        <f t="shared" si="212"/>
        <v>0</v>
      </c>
      <c r="I525" s="171">
        <f t="shared" si="212"/>
        <v>0</v>
      </c>
      <c r="J525" s="123"/>
    </row>
    <row r="526" spans="1:11" ht="25.5" hidden="1" x14ac:dyDescent="0.25">
      <c r="A526" s="169"/>
      <c r="B526" s="157" t="s">
        <v>81</v>
      </c>
      <c r="C526" s="175">
        <f>C527</f>
        <v>0</v>
      </c>
      <c r="D526" s="175">
        <f t="shared" ref="D526:I526" si="213">D527</f>
        <v>0</v>
      </c>
      <c r="E526" s="175">
        <f t="shared" si="213"/>
        <v>536920</v>
      </c>
      <c r="F526" s="175">
        <f t="shared" si="213"/>
        <v>0</v>
      </c>
      <c r="G526" s="175">
        <f t="shared" si="213"/>
        <v>0</v>
      </c>
      <c r="H526" s="175">
        <f t="shared" si="213"/>
        <v>0</v>
      </c>
      <c r="I526" s="175">
        <f t="shared" si="213"/>
        <v>0</v>
      </c>
      <c r="J526" s="123"/>
    </row>
    <row r="527" spans="1:11" ht="15.75" hidden="1" x14ac:dyDescent="0.25">
      <c r="A527" s="169"/>
      <c r="B527" s="212"/>
      <c r="C527" s="176"/>
      <c r="D527" s="176"/>
      <c r="E527" s="176">
        <v>536920</v>
      </c>
      <c r="F527" s="176"/>
      <c r="G527" s="176"/>
      <c r="H527" s="176"/>
      <c r="I527" s="176"/>
      <c r="J527" s="123"/>
    </row>
    <row r="528" spans="1:11" ht="15.75" x14ac:dyDescent="0.25">
      <c r="A528" s="169" t="s">
        <v>207</v>
      </c>
      <c r="B528" s="173" t="s">
        <v>45</v>
      </c>
      <c r="C528" s="171">
        <f t="shared" ref="C528:I528" si="214">C529+C535+C538+C547+C554+C558+C561+C567+C571+C579+C584+C588+C593+C611+C614+C620+C626+C630+C632+C636+C640+C649+C644+C658+C666+C673+C677+C681+C684+C687+C694+C697+C700+C704+C710</f>
        <v>63838100</v>
      </c>
      <c r="D528" s="171">
        <f t="shared" si="214"/>
        <v>116032252</v>
      </c>
      <c r="E528" s="171">
        <f t="shared" si="214"/>
        <v>294339</v>
      </c>
      <c r="F528" s="171">
        <f t="shared" si="214"/>
        <v>74896925</v>
      </c>
      <c r="G528" s="171">
        <f t="shared" si="214"/>
        <v>294339</v>
      </c>
      <c r="H528" s="171">
        <f t="shared" si="214"/>
        <v>8843163</v>
      </c>
      <c r="I528" s="171">
        <f t="shared" si="214"/>
        <v>5457731</v>
      </c>
      <c r="J528" s="123"/>
    </row>
    <row r="529" spans="1:11" ht="28.5" customHeight="1" x14ac:dyDescent="0.25">
      <c r="A529" s="169"/>
      <c r="B529" s="174" t="s">
        <v>46</v>
      </c>
      <c r="C529" s="175">
        <f>SUM(C530:C534)</f>
        <v>0</v>
      </c>
      <c r="D529" s="175">
        <f t="shared" ref="D529:I529" si="215">SUM(D530:D534)</f>
        <v>3260514</v>
      </c>
      <c r="E529" s="175">
        <f t="shared" si="215"/>
        <v>0</v>
      </c>
      <c r="F529" s="175">
        <f t="shared" si="215"/>
        <v>3260514</v>
      </c>
      <c r="G529" s="175">
        <f t="shared" si="215"/>
        <v>0</v>
      </c>
      <c r="H529" s="175">
        <f t="shared" si="215"/>
        <v>711000</v>
      </c>
      <c r="I529" s="175">
        <f t="shared" si="215"/>
        <v>4000</v>
      </c>
      <c r="J529" s="123"/>
      <c r="K529" s="259"/>
    </row>
    <row r="530" spans="1:11" ht="30" customHeight="1" x14ac:dyDescent="0.25">
      <c r="A530" s="169"/>
      <c r="B530" s="212"/>
      <c r="C530" s="176"/>
      <c r="D530" s="176">
        <v>973851</v>
      </c>
      <c r="E530" s="176"/>
      <c r="F530" s="176">
        <v>973851</v>
      </c>
      <c r="G530" s="176"/>
      <c r="H530" s="176"/>
      <c r="I530" s="176"/>
      <c r="J530" s="123" t="s">
        <v>709</v>
      </c>
      <c r="K530" s="182"/>
    </row>
    <row r="531" spans="1:11" ht="28.5" customHeight="1" x14ac:dyDescent="0.25">
      <c r="A531" s="169"/>
      <c r="B531" s="212"/>
      <c r="C531" s="176"/>
      <c r="D531" s="185">
        <f>822791</f>
        <v>822791</v>
      </c>
      <c r="E531" s="185"/>
      <c r="F531" s="185">
        <f>822791</f>
        <v>822791</v>
      </c>
      <c r="G531" s="185"/>
      <c r="H531" s="185"/>
      <c r="I531" s="185"/>
      <c r="J531" s="212" t="s">
        <v>571</v>
      </c>
      <c r="K531" s="182"/>
    </row>
    <row r="532" spans="1:11" ht="15.75" hidden="1" x14ac:dyDescent="0.25">
      <c r="A532" s="169"/>
      <c r="B532" s="212"/>
      <c r="C532" s="176"/>
      <c r="D532" s="185"/>
      <c r="E532" s="185"/>
      <c r="F532" s="185"/>
      <c r="G532" s="185"/>
      <c r="H532" s="185">
        <v>4000</v>
      </c>
      <c r="I532" s="185">
        <v>4000</v>
      </c>
      <c r="J532" s="212"/>
      <c r="K532" s="182"/>
    </row>
    <row r="533" spans="1:11" ht="29.25" customHeight="1" x14ac:dyDescent="0.25">
      <c r="A533" s="169"/>
      <c r="B533" s="212"/>
      <c r="C533" s="176"/>
      <c r="D533" s="185">
        <v>1463872</v>
      </c>
      <c r="E533" s="185"/>
      <c r="F533" s="185">
        <v>1463872</v>
      </c>
      <c r="G533" s="185"/>
      <c r="H533" s="185">
        <v>707000</v>
      </c>
      <c r="I533" s="185"/>
      <c r="J533" s="183" t="s">
        <v>680</v>
      </c>
      <c r="K533" s="182"/>
    </row>
    <row r="534" spans="1:11" ht="15.75" hidden="1" x14ac:dyDescent="0.25">
      <c r="A534" s="169"/>
      <c r="B534" s="212"/>
      <c r="C534" s="176"/>
      <c r="D534" s="185"/>
      <c r="E534" s="185"/>
      <c r="F534" s="185"/>
      <c r="G534" s="185"/>
      <c r="H534" s="185"/>
      <c r="I534" s="185"/>
      <c r="J534" s="212"/>
      <c r="K534" s="182"/>
    </row>
    <row r="535" spans="1:11" ht="15.75" x14ac:dyDescent="0.25">
      <c r="A535" s="169"/>
      <c r="B535" s="174" t="s">
        <v>3</v>
      </c>
      <c r="C535" s="175">
        <f>C536+C537</f>
        <v>0</v>
      </c>
      <c r="D535" s="175">
        <f t="shared" ref="D535:I535" si="216">D536+D537</f>
        <v>661472</v>
      </c>
      <c r="E535" s="175">
        <f t="shared" si="216"/>
        <v>0</v>
      </c>
      <c r="F535" s="175">
        <f t="shared" si="216"/>
        <v>321690</v>
      </c>
      <c r="G535" s="175">
        <f t="shared" si="216"/>
        <v>0</v>
      </c>
      <c r="H535" s="175">
        <f t="shared" si="216"/>
        <v>0</v>
      </c>
      <c r="I535" s="175">
        <f t="shared" si="216"/>
        <v>0</v>
      </c>
      <c r="J535" s="123"/>
      <c r="K535" s="182"/>
    </row>
    <row r="536" spans="1:11" ht="29.25" customHeight="1" x14ac:dyDescent="0.25">
      <c r="A536" s="169"/>
      <c r="B536" s="212"/>
      <c r="C536" s="176"/>
      <c r="D536" s="185">
        <f>321690</f>
        <v>321690</v>
      </c>
      <c r="E536" s="185"/>
      <c r="F536" s="185">
        <f>321690</f>
        <v>321690</v>
      </c>
      <c r="G536" s="185"/>
      <c r="H536" s="185"/>
      <c r="I536" s="185"/>
      <c r="J536" s="212" t="s">
        <v>571</v>
      </c>
      <c r="K536" s="182"/>
    </row>
    <row r="537" spans="1:11" ht="25.5" hidden="1" x14ac:dyDescent="0.25">
      <c r="A537" s="169"/>
      <c r="B537" s="212"/>
      <c r="C537" s="176"/>
      <c r="D537" s="185">
        <v>339782</v>
      </c>
      <c r="E537" s="185"/>
      <c r="F537" s="185"/>
      <c r="G537" s="185"/>
      <c r="H537" s="185"/>
      <c r="I537" s="185"/>
      <c r="J537" s="212" t="s">
        <v>339</v>
      </c>
      <c r="K537" s="182"/>
    </row>
    <row r="538" spans="1:11" ht="25.5" x14ac:dyDescent="0.25">
      <c r="A538" s="169"/>
      <c r="B538" s="174" t="s">
        <v>51</v>
      </c>
      <c r="C538" s="175">
        <f>SUM(C539:C546)</f>
        <v>0</v>
      </c>
      <c r="D538" s="175">
        <f t="shared" ref="D538:I538" si="217">SUM(D539:D546)</f>
        <v>1838083</v>
      </c>
      <c r="E538" s="175">
        <f t="shared" si="217"/>
        <v>0</v>
      </c>
      <c r="F538" s="175">
        <f t="shared" si="217"/>
        <v>951599</v>
      </c>
      <c r="G538" s="175">
        <f t="shared" si="217"/>
        <v>0</v>
      </c>
      <c r="H538" s="175">
        <f t="shared" si="217"/>
        <v>1349695</v>
      </c>
      <c r="I538" s="175">
        <f t="shared" si="217"/>
        <v>126200</v>
      </c>
      <c r="J538" s="260"/>
    </row>
    <row r="539" spans="1:11" ht="27.75" customHeight="1" x14ac:dyDescent="0.25">
      <c r="A539" s="169"/>
      <c r="B539" s="123"/>
      <c r="C539" s="176"/>
      <c r="D539" s="176">
        <f>712999</f>
        <v>712999</v>
      </c>
      <c r="E539" s="176"/>
      <c r="F539" s="176">
        <f>712999</f>
        <v>712999</v>
      </c>
      <c r="G539" s="176"/>
      <c r="H539" s="176"/>
      <c r="I539" s="176"/>
      <c r="J539" s="212" t="s">
        <v>571</v>
      </c>
      <c r="K539" s="182"/>
    </row>
    <row r="540" spans="1:11" ht="15.75" hidden="1" x14ac:dyDescent="0.25">
      <c r="A540" s="169"/>
      <c r="B540" s="123"/>
      <c r="C540" s="176"/>
      <c r="D540" s="176"/>
      <c r="E540" s="176"/>
      <c r="F540" s="176"/>
      <c r="G540" s="176"/>
      <c r="H540" s="176">
        <v>110900</v>
      </c>
      <c r="I540" s="176">
        <v>110900</v>
      </c>
      <c r="J540" s="212"/>
      <c r="K540" s="182"/>
    </row>
    <row r="541" spans="1:11" ht="15.75" x14ac:dyDescent="0.25">
      <c r="A541" s="169"/>
      <c r="B541" s="123"/>
      <c r="C541" s="176"/>
      <c r="D541" s="176">
        <v>33600</v>
      </c>
      <c r="E541" s="176"/>
      <c r="F541" s="176">
        <v>33600</v>
      </c>
      <c r="G541" s="176"/>
      <c r="H541" s="176"/>
      <c r="I541" s="176"/>
      <c r="J541" s="212" t="s">
        <v>341</v>
      </c>
      <c r="K541" s="182"/>
    </row>
    <row r="542" spans="1:11" ht="89.25" hidden="1" x14ac:dyDescent="0.25">
      <c r="A542" s="169"/>
      <c r="B542" s="123"/>
      <c r="C542" s="176"/>
      <c r="D542" s="176">
        <v>249784</v>
      </c>
      <c r="E542" s="176"/>
      <c r="F542" s="176"/>
      <c r="G542" s="176"/>
      <c r="H542" s="176"/>
      <c r="I542" s="176"/>
      <c r="J542" s="212" t="s">
        <v>342</v>
      </c>
      <c r="K542" s="182"/>
    </row>
    <row r="543" spans="1:11" ht="28.5" customHeight="1" x14ac:dyDescent="0.25">
      <c r="A543" s="169"/>
      <c r="B543" s="123"/>
      <c r="C543" s="176"/>
      <c r="D543" s="176">
        <v>205000</v>
      </c>
      <c r="E543" s="176"/>
      <c r="F543" s="176">
        <v>205000</v>
      </c>
      <c r="G543" s="176"/>
      <c r="H543" s="176"/>
      <c r="I543" s="176"/>
      <c r="J543" s="212" t="s">
        <v>710</v>
      </c>
      <c r="K543" s="182"/>
    </row>
    <row r="544" spans="1:11" ht="15.75" hidden="1" x14ac:dyDescent="0.25">
      <c r="A544" s="169"/>
      <c r="B544" s="123"/>
      <c r="C544" s="176"/>
      <c r="D544" s="176"/>
      <c r="E544" s="176"/>
      <c r="F544" s="176"/>
      <c r="G544" s="176"/>
      <c r="H544" s="176">
        <v>15300</v>
      </c>
      <c r="I544" s="176">
        <v>15300</v>
      </c>
      <c r="J544" s="212"/>
      <c r="K544" s="182"/>
    </row>
    <row r="545" spans="1:11" ht="15.75" hidden="1" x14ac:dyDescent="0.25">
      <c r="A545" s="169"/>
      <c r="B545" s="123"/>
      <c r="C545" s="176"/>
      <c r="D545" s="176">
        <v>636700</v>
      </c>
      <c r="E545" s="176"/>
      <c r="F545" s="176"/>
      <c r="G545" s="176"/>
      <c r="H545" s="176"/>
      <c r="I545" s="176"/>
      <c r="J545" s="212"/>
      <c r="K545" s="182"/>
    </row>
    <row r="546" spans="1:11" ht="15.75" hidden="1" x14ac:dyDescent="0.25">
      <c r="A546" s="169"/>
      <c r="B546" s="123"/>
      <c r="C546" s="176"/>
      <c r="D546" s="176"/>
      <c r="E546" s="176"/>
      <c r="F546" s="176"/>
      <c r="G546" s="176"/>
      <c r="H546" s="176">
        <v>1223495</v>
      </c>
      <c r="I546" s="176"/>
      <c r="J546" s="274"/>
      <c r="K546" s="182"/>
    </row>
    <row r="547" spans="1:11" ht="28.5" customHeight="1" x14ac:dyDescent="0.25">
      <c r="A547" s="169"/>
      <c r="B547" s="174" t="s">
        <v>35</v>
      </c>
      <c r="C547" s="175">
        <f>SUM(C548:C553)</f>
        <v>0</v>
      </c>
      <c r="D547" s="175">
        <f t="shared" ref="D547:I547" si="218">SUM(D548:D553)</f>
        <v>3732410</v>
      </c>
      <c r="E547" s="175">
        <f t="shared" si="218"/>
        <v>0</v>
      </c>
      <c r="F547" s="175">
        <f t="shared" si="218"/>
        <v>1286084</v>
      </c>
      <c r="G547" s="175">
        <f t="shared" si="218"/>
        <v>0</v>
      </c>
      <c r="H547" s="175">
        <f t="shared" si="218"/>
        <v>0</v>
      </c>
      <c r="I547" s="175">
        <f t="shared" si="218"/>
        <v>0</v>
      </c>
      <c r="J547" s="260"/>
      <c r="K547" s="182"/>
    </row>
    <row r="548" spans="1:11" ht="32.25" customHeight="1" x14ac:dyDescent="0.25">
      <c r="A548" s="169"/>
      <c r="B548" s="123"/>
      <c r="C548" s="176"/>
      <c r="D548" s="176">
        <f>625084</f>
        <v>625084</v>
      </c>
      <c r="E548" s="176"/>
      <c r="F548" s="176">
        <f>625084</f>
        <v>625084</v>
      </c>
      <c r="G548" s="176"/>
      <c r="H548" s="176"/>
      <c r="I548" s="176"/>
      <c r="J548" s="212" t="s">
        <v>571</v>
      </c>
      <c r="K548" s="182"/>
    </row>
    <row r="549" spans="1:11" ht="38.25" hidden="1" x14ac:dyDescent="0.25">
      <c r="A549" s="169"/>
      <c r="B549" s="123"/>
      <c r="C549" s="176"/>
      <c r="D549" s="176">
        <f>1909208</f>
        <v>1909208</v>
      </c>
      <c r="E549" s="176"/>
      <c r="F549" s="176"/>
      <c r="G549" s="176"/>
      <c r="H549" s="176"/>
      <c r="I549" s="176"/>
      <c r="J549" s="274" t="s">
        <v>572</v>
      </c>
      <c r="K549" s="182"/>
    </row>
    <row r="550" spans="1:11" ht="38.25" hidden="1" x14ac:dyDescent="0.25">
      <c r="A550" s="169"/>
      <c r="B550" s="123"/>
      <c r="C550" s="176"/>
      <c r="D550" s="176">
        <f>419637+126731</f>
        <v>546368</v>
      </c>
      <c r="E550" s="176"/>
      <c r="F550" s="176"/>
      <c r="G550" s="176"/>
      <c r="H550" s="176"/>
      <c r="I550" s="176"/>
      <c r="J550" s="274" t="s">
        <v>573</v>
      </c>
      <c r="K550" s="182"/>
    </row>
    <row r="551" spans="1:11" ht="89.25" hidden="1" x14ac:dyDescent="0.25">
      <c r="A551" s="169"/>
      <c r="B551" s="123"/>
      <c r="C551" s="176"/>
      <c r="D551" s="176">
        <f>330000+214000+50000+27750</f>
        <v>621750</v>
      </c>
      <c r="E551" s="176"/>
      <c r="F551" s="176"/>
      <c r="G551" s="176"/>
      <c r="H551" s="176"/>
      <c r="I551" s="176"/>
      <c r="J551" s="212" t="s">
        <v>574</v>
      </c>
      <c r="K551" s="182"/>
    </row>
    <row r="552" spans="1:11" ht="27.75" customHeight="1" x14ac:dyDescent="0.25">
      <c r="A552" s="169"/>
      <c r="B552" s="123"/>
      <c r="C552" s="176"/>
      <c r="D552" s="176"/>
      <c r="E552" s="176"/>
      <c r="F552" s="176">
        <f>529000+102000</f>
        <v>631000</v>
      </c>
      <c r="G552" s="176"/>
      <c r="H552" s="176"/>
      <c r="I552" s="176"/>
      <c r="J552" s="212" t="s">
        <v>733</v>
      </c>
      <c r="K552" s="182"/>
    </row>
    <row r="553" spans="1:11" ht="15.75" x14ac:dyDescent="0.25">
      <c r="A553" s="169"/>
      <c r="B553" s="123"/>
      <c r="C553" s="176"/>
      <c r="D553" s="176">
        <v>30000</v>
      </c>
      <c r="E553" s="176"/>
      <c r="F553" s="176">
        <v>30000</v>
      </c>
      <c r="G553" s="176"/>
      <c r="H553" s="176"/>
      <c r="I553" s="176"/>
      <c r="J553" s="212" t="s">
        <v>737</v>
      </c>
      <c r="K553" s="182"/>
    </row>
    <row r="554" spans="1:11" ht="45" customHeight="1" x14ac:dyDescent="0.25">
      <c r="A554" s="169"/>
      <c r="B554" s="174" t="s">
        <v>121</v>
      </c>
      <c r="C554" s="175">
        <f>C555+C556+C557</f>
        <v>0</v>
      </c>
      <c r="D554" s="175">
        <f t="shared" ref="D554:I554" si="219">D555+D556+D557</f>
        <v>2903268</v>
      </c>
      <c r="E554" s="175">
        <f t="shared" si="219"/>
        <v>0</v>
      </c>
      <c r="F554" s="175">
        <f t="shared" si="219"/>
        <v>2903268</v>
      </c>
      <c r="G554" s="175">
        <f t="shared" si="219"/>
        <v>0</v>
      </c>
      <c r="H554" s="175">
        <f t="shared" si="219"/>
        <v>90000</v>
      </c>
      <c r="I554" s="175">
        <f t="shared" si="219"/>
        <v>90000</v>
      </c>
      <c r="J554" s="260"/>
      <c r="K554" s="182"/>
    </row>
    <row r="555" spans="1:11" ht="27.75" customHeight="1" x14ac:dyDescent="0.25">
      <c r="A555" s="169"/>
      <c r="B555" s="123"/>
      <c r="C555" s="176"/>
      <c r="D555" s="176">
        <f>544268</f>
        <v>544268</v>
      </c>
      <c r="E555" s="176"/>
      <c r="F555" s="176">
        <f>544268</f>
        <v>544268</v>
      </c>
      <c r="G555" s="176"/>
      <c r="H555" s="176"/>
      <c r="I555" s="176"/>
      <c r="J555" s="212" t="s">
        <v>571</v>
      </c>
      <c r="K555" s="182"/>
    </row>
    <row r="556" spans="1:11" ht="38.25" x14ac:dyDescent="0.25">
      <c r="A556" s="169"/>
      <c r="B556" s="123"/>
      <c r="C556" s="176"/>
      <c r="D556" s="176">
        <f>2359000</f>
        <v>2359000</v>
      </c>
      <c r="E556" s="176"/>
      <c r="F556" s="176">
        <f>2359000</f>
        <v>2359000</v>
      </c>
      <c r="G556" s="176"/>
      <c r="H556" s="176"/>
      <c r="I556" s="176"/>
      <c r="J556" s="158" t="s">
        <v>789</v>
      </c>
      <c r="K556" s="182"/>
    </row>
    <row r="557" spans="1:11" ht="15.75" hidden="1" x14ac:dyDescent="0.25">
      <c r="A557" s="169"/>
      <c r="B557" s="123"/>
      <c r="C557" s="176"/>
      <c r="D557" s="176"/>
      <c r="E557" s="176"/>
      <c r="F557" s="176"/>
      <c r="G557" s="176"/>
      <c r="H557" s="176">
        <v>90000</v>
      </c>
      <c r="I557" s="176">
        <v>90000</v>
      </c>
      <c r="J557" s="158"/>
      <c r="K557" s="182"/>
    </row>
    <row r="558" spans="1:11" ht="15.75" x14ac:dyDescent="0.25">
      <c r="A558" s="169"/>
      <c r="B558" s="174" t="s">
        <v>41</v>
      </c>
      <c r="C558" s="175">
        <f>C559+C560</f>
        <v>0</v>
      </c>
      <c r="D558" s="175">
        <f t="shared" ref="D558:I558" si="220">D559+D560</f>
        <v>1080620</v>
      </c>
      <c r="E558" s="175">
        <f t="shared" si="220"/>
        <v>0</v>
      </c>
      <c r="F558" s="175">
        <f t="shared" si="220"/>
        <v>1080620</v>
      </c>
      <c r="G558" s="175">
        <f t="shared" si="220"/>
        <v>0</v>
      </c>
      <c r="H558" s="175">
        <f t="shared" si="220"/>
        <v>14710</v>
      </c>
      <c r="I558" s="175">
        <f t="shared" si="220"/>
        <v>14710</v>
      </c>
      <c r="J558" s="260"/>
      <c r="K558" s="182"/>
    </row>
    <row r="559" spans="1:11" ht="29.25" customHeight="1" x14ac:dyDescent="0.25">
      <c r="A559" s="169"/>
      <c r="B559" s="123"/>
      <c r="C559" s="176"/>
      <c r="D559" s="176">
        <f>1080620</f>
        <v>1080620</v>
      </c>
      <c r="E559" s="176"/>
      <c r="F559" s="176">
        <f>1080620</f>
        <v>1080620</v>
      </c>
      <c r="G559" s="176"/>
      <c r="H559" s="176"/>
      <c r="I559" s="176"/>
      <c r="J559" s="212" t="s">
        <v>571</v>
      </c>
      <c r="K559" s="182"/>
    </row>
    <row r="560" spans="1:11" ht="15.75" hidden="1" x14ac:dyDescent="0.25">
      <c r="A560" s="169"/>
      <c r="B560" s="123"/>
      <c r="C560" s="176"/>
      <c r="D560" s="176"/>
      <c r="E560" s="176"/>
      <c r="F560" s="176"/>
      <c r="G560" s="176"/>
      <c r="H560" s="176">
        <v>14710</v>
      </c>
      <c r="I560" s="176">
        <v>14710</v>
      </c>
      <c r="J560" s="212"/>
      <c r="K560" s="182"/>
    </row>
    <row r="561" spans="1:10" ht="54.75" customHeight="1" x14ac:dyDescent="0.25">
      <c r="A561" s="169"/>
      <c r="B561" s="174" t="s">
        <v>162</v>
      </c>
      <c r="C561" s="175">
        <f>SUM(C562:C566)</f>
        <v>0</v>
      </c>
      <c r="D561" s="175">
        <f t="shared" ref="D561:I561" si="221">SUM(D562:D566)</f>
        <v>2526723</v>
      </c>
      <c r="E561" s="175">
        <f t="shared" si="221"/>
        <v>0</v>
      </c>
      <c r="F561" s="175">
        <f t="shared" si="221"/>
        <v>1469505</v>
      </c>
      <c r="G561" s="175">
        <f t="shared" si="221"/>
        <v>0</v>
      </c>
      <c r="H561" s="175">
        <f t="shared" si="221"/>
        <v>0</v>
      </c>
      <c r="I561" s="175">
        <f t="shared" si="221"/>
        <v>0</v>
      </c>
      <c r="J561" s="261"/>
    </row>
    <row r="562" spans="1:10" ht="80.25" customHeight="1" x14ac:dyDescent="0.25">
      <c r="A562" s="169"/>
      <c r="B562" s="123" t="s">
        <v>283</v>
      </c>
      <c r="C562" s="176"/>
      <c r="D562" s="176">
        <v>243600</v>
      </c>
      <c r="E562" s="176"/>
      <c r="F562" s="176">
        <v>243600</v>
      </c>
      <c r="G562" s="176"/>
      <c r="H562" s="176"/>
      <c r="I562" s="176"/>
      <c r="J562" s="212" t="s">
        <v>711</v>
      </c>
    </row>
    <row r="563" spans="1:10" ht="30" customHeight="1" x14ac:dyDescent="0.25">
      <c r="A563" s="169"/>
      <c r="B563" s="174"/>
      <c r="C563" s="175"/>
      <c r="D563" s="176">
        <f>1105905</f>
        <v>1105905</v>
      </c>
      <c r="E563" s="176"/>
      <c r="F563" s="176">
        <f>1105905</f>
        <v>1105905</v>
      </c>
      <c r="G563" s="176"/>
      <c r="H563" s="176"/>
      <c r="I563" s="176"/>
      <c r="J563" s="212" t="s">
        <v>571</v>
      </c>
    </row>
    <row r="564" spans="1:10" ht="25.5" hidden="1" x14ac:dyDescent="0.25">
      <c r="A564" s="169"/>
      <c r="B564" s="212"/>
      <c r="C564" s="176"/>
      <c r="D564" s="176">
        <v>310961</v>
      </c>
      <c r="E564" s="176"/>
      <c r="F564" s="176"/>
      <c r="G564" s="176"/>
      <c r="H564" s="176"/>
      <c r="I564" s="176"/>
      <c r="J564" s="158" t="s">
        <v>346</v>
      </c>
    </row>
    <row r="565" spans="1:10" ht="29.25" customHeight="1" x14ac:dyDescent="0.25">
      <c r="A565" s="169"/>
      <c r="B565" s="212"/>
      <c r="C565" s="176"/>
      <c r="D565" s="176">
        <v>120000</v>
      </c>
      <c r="E565" s="176"/>
      <c r="F565" s="176">
        <v>120000</v>
      </c>
      <c r="G565" s="176"/>
      <c r="H565" s="176"/>
      <c r="I565" s="176"/>
      <c r="J565" s="158" t="s">
        <v>712</v>
      </c>
    </row>
    <row r="566" spans="1:10" ht="25.5" hidden="1" x14ac:dyDescent="0.25">
      <c r="A566" s="169"/>
      <c r="B566" s="212"/>
      <c r="C566" s="176"/>
      <c r="D566" s="176">
        <v>746257</v>
      </c>
      <c r="E566" s="176"/>
      <c r="F566" s="176"/>
      <c r="G566" s="176"/>
      <c r="H566" s="176"/>
      <c r="I566" s="176"/>
      <c r="J566" s="158" t="s">
        <v>348</v>
      </c>
    </row>
    <row r="567" spans="1:10" ht="38.25" x14ac:dyDescent="0.25">
      <c r="A567" s="169"/>
      <c r="B567" s="174" t="s">
        <v>57</v>
      </c>
      <c r="C567" s="175">
        <f>C568+C569+C570</f>
        <v>0</v>
      </c>
      <c r="D567" s="175">
        <f t="shared" ref="D567:I567" si="222">D568+D569+D570</f>
        <v>1016242</v>
      </c>
      <c r="E567" s="175">
        <f t="shared" si="222"/>
        <v>79435</v>
      </c>
      <c r="F567" s="175">
        <f t="shared" si="222"/>
        <v>1016242</v>
      </c>
      <c r="G567" s="175">
        <f t="shared" si="222"/>
        <v>79435</v>
      </c>
      <c r="H567" s="175">
        <f t="shared" si="222"/>
        <v>0</v>
      </c>
      <c r="I567" s="175">
        <f t="shared" si="222"/>
        <v>0</v>
      </c>
      <c r="J567" s="261"/>
    </row>
    <row r="568" spans="1:10" ht="27" customHeight="1" x14ac:dyDescent="0.25">
      <c r="A568" s="169"/>
      <c r="B568" s="174"/>
      <c r="C568" s="175"/>
      <c r="D568" s="176">
        <f>729342</f>
        <v>729342</v>
      </c>
      <c r="E568" s="176"/>
      <c r="F568" s="176">
        <f>729342</f>
        <v>729342</v>
      </c>
      <c r="G568" s="176"/>
      <c r="H568" s="176"/>
      <c r="I568" s="176"/>
      <c r="J568" s="212" t="s">
        <v>571</v>
      </c>
    </row>
    <row r="569" spans="1:10" ht="30" customHeight="1" x14ac:dyDescent="0.25">
      <c r="A569" s="169"/>
      <c r="B569" s="174"/>
      <c r="C569" s="175"/>
      <c r="D569" s="176">
        <v>286900</v>
      </c>
      <c r="E569" s="176"/>
      <c r="F569" s="176">
        <v>286900</v>
      </c>
      <c r="G569" s="176"/>
      <c r="H569" s="176"/>
      <c r="I569" s="176"/>
      <c r="J569" s="212" t="s">
        <v>349</v>
      </c>
    </row>
    <row r="570" spans="1:10" ht="18.75" customHeight="1" x14ac:dyDescent="0.25">
      <c r="A570" s="169"/>
      <c r="B570" s="174"/>
      <c r="C570" s="175"/>
      <c r="D570" s="176"/>
      <c r="E570" s="176">
        <v>79435</v>
      </c>
      <c r="F570" s="176"/>
      <c r="G570" s="176">
        <v>79435</v>
      </c>
      <c r="H570" s="176"/>
      <c r="I570" s="176"/>
      <c r="J570" s="212" t="s">
        <v>350</v>
      </c>
    </row>
    <row r="571" spans="1:10" ht="41.25" customHeight="1" x14ac:dyDescent="0.25">
      <c r="A571" s="169"/>
      <c r="B571" s="157" t="s">
        <v>44</v>
      </c>
      <c r="C571" s="175">
        <f>SUM(C572:C578)</f>
        <v>0</v>
      </c>
      <c r="D571" s="175">
        <f t="shared" ref="D571:I571" si="223">SUM(D572:D578)</f>
        <v>6321126</v>
      </c>
      <c r="E571" s="175">
        <f t="shared" si="223"/>
        <v>0</v>
      </c>
      <c r="F571" s="175">
        <f t="shared" si="223"/>
        <v>5393021</v>
      </c>
      <c r="G571" s="175">
        <f t="shared" si="223"/>
        <v>0</v>
      </c>
      <c r="H571" s="175">
        <f t="shared" si="223"/>
        <v>1175000</v>
      </c>
      <c r="I571" s="175">
        <f t="shared" si="223"/>
        <v>0</v>
      </c>
      <c r="J571" s="261"/>
    </row>
    <row r="572" spans="1:10" ht="28.5" customHeight="1" x14ac:dyDescent="0.25">
      <c r="A572" s="169"/>
      <c r="B572" s="157"/>
      <c r="C572" s="175"/>
      <c r="D572" s="176">
        <f>621337</f>
        <v>621337</v>
      </c>
      <c r="E572" s="176"/>
      <c r="F572" s="176">
        <f>621337</f>
        <v>621337</v>
      </c>
      <c r="G572" s="175"/>
      <c r="H572" s="175"/>
      <c r="I572" s="175"/>
      <c r="J572" s="212" t="s">
        <v>571</v>
      </c>
    </row>
    <row r="573" spans="1:10" ht="15.75" x14ac:dyDescent="0.25">
      <c r="A573" s="169"/>
      <c r="B573" s="157"/>
      <c r="C573" s="176"/>
      <c r="D573" s="176">
        <v>2698289</v>
      </c>
      <c r="E573" s="176"/>
      <c r="F573" s="176">
        <v>4450184</v>
      </c>
      <c r="G573" s="176"/>
      <c r="H573" s="176"/>
      <c r="I573" s="176"/>
      <c r="J573" s="123" t="s">
        <v>351</v>
      </c>
    </row>
    <row r="574" spans="1:10" ht="15.75" hidden="1" x14ac:dyDescent="0.25">
      <c r="A574" s="169"/>
      <c r="B574" s="157"/>
      <c r="C574" s="176"/>
      <c r="D574" s="176"/>
      <c r="E574" s="176"/>
      <c r="F574" s="176"/>
      <c r="G574" s="176"/>
      <c r="H574" s="176">
        <v>1175000</v>
      </c>
      <c r="I574" s="176"/>
      <c r="J574" s="212"/>
    </row>
    <row r="575" spans="1:10" ht="25.5" x14ac:dyDescent="0.25">
      <c r="A575" s="169"/>
      <c r="B575" s="157"/>
      <c r="C575" s="176"/>
      <c r="D575" s="176">
        <v>1480000</v>
      </c>
      <c r="E575" s="176"/>
      <c r="F575" s="176">
        <v>200000</v>
      </c>
      <c r="G575" s="176"/>
      <c r="H575" s="176"/>
      <c r="I575" s="176"/>
      <c r="J575" s="212" t="s">
        <v>677</v>
      </c>
    </row>
    <row r="576" spans="1:10" ht="15.75" hidden="1" x14ac:dyDescent="0.25">
      <c r="A576" s="169"/>
      <c r="B576" s="157"/>
      <c r="C576" s="176"/>
      <c r="D576" s="176">
        <v>1200000</v>
      </c>
      <c r="E576" s="176"/>
      <c r="F576" s="176"/>
      <c r="G576" s="176"/>
      <c r="H576" s="176"/>
      <c r="I576" s="176"/>
      <c r="J576" s="212"/>
    </row>
    <row r="577" spans="1:10" ht="30.75" customHeight="1" x14ac:dyDescent="0.25">
      <c r="A577" s="169"/>
      <c r="B577" s="157"/>
      <c r="C577" s="176"/>
      <c r="D577" s="176">
        <v>300000</v>
      </c>
      <c r="E577" s="176"/>
      <c r="F577" s="176">
        <v>100000</v>
      </c>
      <c r="G577" s="176"/>
      <c r="H577" s="176"/>
      <c r="I577" s="176"/>
      <c r="J577" s="212" t="s">
        <v>354</v>
      </c>
    </row>
    <row r="578" spans="1:10" ht="27.75" customHeight="1" x14ac:dyDescent="0.25">
      <c r="A578" s="169"/>
      <c r="B578" s="157"/>
      <c r="C578" s="176"/>
      <c r="D578" s="176">
        <v>21500</v>
      </c>
      <c r="E578" s="176"/>
      <c r="F578" s="176">
        <v>21500</v>
      </c>
      <c r="G578" s="176"/>
      <c r="H578" s="176"/>
      <c r="I578" s="176"/>
      <c r="J578" s="212" t="s">
        <v>790</v>
      </c>
    </row>
    <row r="579" spans="1:10" ht="25.5" x14ac:dyDescent="0.25">
      <c r="A579" s="169"/>
      <c r="B579" s="157" t="s">
        <v>356</v>
      </c>
      <c r="C579" s="175">
        <f>C580+C581</f>
        <v>0</v>
      </c>
      <c r="D579" s="175">
        <f t="shared" ref="D579:I579" si="224">D580+D581</f>
        <v>253621</v>
      </c>
      <c r="E579" s="175">
        <f t="shared" si="224"/>
        <v>0</v>
      </c>
      <c r="F579" s="175">
        <f t="shared" si="224"/>
        <v>253621</v>
      </c>
      <c r="G579" s="175">
        <f t="shared" si="224"/>
        <v>0</v>
      </c>
      <c r="H579" s="175">
        <f t="shared" si="224"/>
        <v>200000</v>
      </c>
      <c r="I579" s="175">
        <f t="shared" si="224"/>
        <v>200000</v>
      </c>
      <c r="J579" s="261"/>
    </row>
    <row r="580" spans="1:10" ht="30" customHeight="1" x14ac:dyDescent="0.25">
      <c r="A580" s="169"/>
      <c r="B580" s="157"/>
      <c r="C580" s="175"/>
      <c r="D580" s="176">
        <f>253621</f>
        <v>253621</v>
      </c>
      <c r="E580" s="176"/>
      <c r="F580" s="176">
        <f>253621</f>
        <v>253621</v>
      </c>
      <c r="G580" s="176"/>
      <c r="H580" s="176"/>
      <c r="I580" s="176"/>
      <c r="J580" s="212" t="s">
        <v>571</v>
      </c>
    </row>
    <row r="581" spans="1:10" ht="15.75" hidden="1" x14ac:dyDescent="0.25">
      <c r="A581" s="169"/>
      <c r="B581" s="157"/>
      <c r="C581" s="175"/>
      <c r="D581" s="176"/>
      <c r="E581" s="176"/>
      <c r="F581" s="176"/>
      <c r="G581" s="176"/>
      <c r="H581" s="176">
        <v>200000</v>
      </c>
      <c r="I581" s="176">
        <v>200000</v>
      </c>
      <c r="J581" s="212"/>
    </row>
    <row r="582" spans="1:10" ht="15.75" hidden="1" x14ac:dyDescent="0.25">
      <c r="A582" s="169"/>
      <c r="B582" s="157"/>
      <c r="C582" s="176"/>
      <c r="D582" s="176"/>
      <c r="E582" s="176"/>
      <c r="F582" s="176"/>
      <c r="G582" s="176"/>
      <c r="H582" s="176"/>
      <c r="I582" s="176"/>
      <c r="J582" s="261"/>
    </row>
    <row r="583" spans="1:10" ht="15.75" hidden="1" x14ac:dyDescent="0.25">
      <c r="A583" s="169"/>
      <c r="B583" s="157"/>
      <c r="C583" s="176"/>
      <c r="D583" s="176"/>
      <c r="E583" s="176"/>
      <c r="F583" s="176"/>
      <c r="G583" s="176"/>
      <c r="H583" s="176"/>
      <c r="I583" s="176"/>
      <c r="J583" s="261"/>
    </row>
    <row r="584" spans="1:10" ht="16.5" customHeight="1" x14ac:dyDescent="0.25">
      <c r="A584" s="169"/>
      <c r="B584" s="262" t="s">
        <v>226</v>
      </c>
      <c r="C584" s="175">
        <f>SUM(C585:C587)</f>
        <v>0</v>
      </c>
      <c r="D584" s="175">
        <f t="shared" ref="D584:I584" si="225">SUM(D585:D587)</f>
        <v>522530</v>
      </c>
      <c r="E584" s="175">
        <f t="shared" si="225"/>
        <v>0</v>
      </c>
      <c r="F584" s="175">
        <f t="shared" si="225"/>
        <v>522530</v>
      </c>
      <c r="G584" s="175">
        <f t="shared" si="225"/>
        <v>0</v>
      </c>
      <c r="H584" s="175">
        <f t="shared" si="225"/>
        <v>1001500</v>
      </c>
      <c r="I584" s="175">
        <f t="shared" si="225"/>
        <v>1001500</v>
      </c>
      <c r="J584" s="261"/>
    </row>
    <row r="585" spans="1:10" ht="27.75" customHeight="1" x14ac:dyDescent="0.25">
      <c r="A585" s="169"/>
      <c r="B585" s="157"/>
      <c r="C585" s="176"/>
      <c r="D585" s="176">
        <f>522530</f>
        <v>522530</v>
      </c>
      <c r="E585" s="176"/>
      <c r="F585" s="176">
        <v>522530</v>
      </c>
      <c r="G585" s="176"/>
      <c r="H585" s="176"/>
      <c r="I585" s="176"/>
      <c r="J585" s="212" t="s">
        <v>571</v>
      </c>
    </row>
    <row r="586" spans="1:10" ht="15.75" hidden="1" x14ac:dyDescent="0.25">
      <c r="A586" s="169"/>
      <c r="B586" s="157"/>
      <c r="C586" s="176"/>
      <c r="D586" s="176"/>
      <c r="E586" s="176"/>
      <c r="F586" s="176"/>
      <c r="G586" s="176"/>
      <c r="H586" s="176">
        <v>1500</v>
      </c>
      <c r="I586" s="176">
        <v>1500</v>
      </c>
      <c r="J586" s="212"/>
    </row>
    <row r="587" spans="1:10" ht="15.75" hidden="1" x14ac:dyDescent="0.25">
      <c r="A587" s="169"/>
      <c r="B587" s="157"/>
      <c r="C587" s="176"/>
      <c r="D587" s="176"/>
      <c r="E587" s="176"/>
      <c r="F587" s="176"/>
      <c r="G587" s="176"/>
      <c r="H587" s="176">
        <v>1000000</v>
      </c>
      <c r="I587" s="176">
        <v>1000000</v>
      </c>
      <c r="J587" s="212"/>
    </row>
    <row r="588" spans="1:10" ht="15" customHeight="1" x14ac:dyDescent="0.25">
      <c r="A588" s="169"/>
      <c r="B588" s="262" t="s">
        <v>360</v>
      </c>
      <c r="C588" s="175">
        <f>C589+C590+C591+C592</f>
        <v>0</v>
      </c>
      <c r="D588" s="175">
        <f t="shared" ref="D588:I588" si="226">D589+D590+D591+D592</f>
        <v>4346618</v>
      </c>
      <c r="E588" s="175">
        <f t="shared" si="226"/>
        <v>0</v>
      </c>
      <c r="F588" s="175">
        <f t="shared" si="226"/>
        <v>4346618</v>
      </c>
      <c r="G588" s="175">
        <f t="shared" si="226"/>
        <v>0</v>
      </c>
      <c r="H588" s="175">
        <f t="shared" si="226"/>
        <v>0</v>
      </c>
      <c r="I588" s="175">
        <f t="shared" si="226"/>
        <v>0</v>
      </c>
      <c r="J588" s="261"/>
    </row>
    <row r="589" spans="1:10" ht="51" x14ac:dyDescent="0.25">
      <c r="A589" s="169"/>
      <c r="B589" s="262"/>
      <c r="C589" s="176"/>
      <c r="D589" s="176">
        <f>1786073</f>
        <v>1786073</v>
      </c>
      <c r="E589" s="176"/>
      <c r="F589" s="176">
        <v>1786073</v>
      </c>
      <c r="G589" s="176"/>
      <c r="H589" s="176"/>
      <c r="I589" s="176"/>
      <c r="J589" s="261" t="s">
        <v>791</v>
      </c>
    </row>
    <row r="590" spans="1:10" ht="29.25" customHeight="1" x14ac:dyDescent="0.25">
      <c r="A590" s="169"/>
      <c r="B590" s="157"/>
      <c r="C590" s="176"/>
      <c r="D590" s="176">
        <f>2560545</f>
        <v>2560545</v>
      </c>
      <c r="E590" s="176"/>
      <c r="F590" s="176">
        <f>2560545</f>
        <v>2560545</v>
      </c>
      <c r="G590" s="176"/>
      <c r="H590" s="176"/>
      <c r="I590" s="176"/>
      <c r="J590" s="212" t="s">
        <v>571</v>
      </c>
    </row>
    <row r="591" spans="1:10" ht="15.75" hidden="1" x14ac:dyDescent="0.25">
      <c r="A591" s="169"/>
      <c r="B591" s="157"/>
      <c r="C591" s="176"/>
      <c r="D591" s="176"/>
      <c r="E591" s="176"/>
      <c r="F591" s="176"/>
      <c r="G591" s="176"/>
      <c r="H591" s="176"/>
      <c r="I591" s="176"/>
      <c r="J591" s="212"/>
    </row>
    <row r="592" spans="1:10" ht="15.75" hidden="1" x14ac:dyDescent="0.25">
      <c r="A592" s="169"/>
      <c r="B592" s="157"/>
      <c r="C592" s="176"/>
      <c r="D592" s="176"/>
      <c r="E592" s="176"/>
      <c r="F592" s="176"/>
      <c r="G592" s="176"/>
      <c r="H592" s="176"/>
      <c r="I592" s="176"/>
      <c r="J592" s="212"/>
    </row>
    <row r="593" spans="1:12" ht="15.75" x14ac:dyDescent="0.25">
      <c r="A593" s="169"/>
      <c r="B593" s="157" t="s">
        <v>36</v>
      </c>
      <c r="C593" s="202">
        <f t="shared" ref="C593:E593" si="227">SUM(C594:C609)</f>
        <v>63838100</v>
      </c>
      <c r="D593" s="202">
        <f t="shared" si="227"/>
        <v>38628194</v>
      </c>
      <c r="E593" s="202">
        <f t="shared" si="227"/>
        <v>0</v>
      </c>
      <c r="F593" s="202">
        <f>SUM(F594:F609)</f>
        <v>13363704</v>
      </c>
      <c r="G593" s="202">
        <f>SUM(G594:G609)</f>
        <v>0</v>
      </c>
      <c r="H593" s="202">
        <f t="shared" ref="H593:I593" si="228">SUM(H594:H608)</f>
        <v>2944968</v>
      </c>
      <c r="I593" s="202">
        <f t="shared" si="228"/>
        <v>2865031</v>
      </c>
      <c r="J593" s="123"/>
    </row>
    <row r="594" spans="1:12" ht="28.5" customHeight="1" x14ac:dyDescent="0.25">
      <c r="A594" s="169"/>
      <c r="B594" s="212"/>
      <c r="C594" s="208"/>
      <c r="D594" s="208">
        <f>2963047+9055629</f>
        <v>12018676</v>
      </c>
      <c r="E594" s="208"/>
      <c r="F594" s="208">
        <f>2963047</f>
        <v>2963047</v>
      </c>
      <c r="G594" s="208"/>
      <c r="H594" s="208"/>
      <c r="I594" s="208"/>
      <c r="J594" s="212" t="s">
        <v>571</v>
      </c>
    </row>
    <row r="595" spans="1:12" ht="39.75" customHeight="1" x14ac:dyDescent="0.25">
      <c r="A595" s="169"/>
      <c r="B595" s="212" t="s">
        <v>362</v>
      </c>
      <c r="C595" s="208"/>
      <c r="D595" s="208">
        <f>922200+820116+920871+1260778+978402+2897931</f>
        <v>7800298</v>
      </c>
      <c r="E595" s="208"/>
      <c r="F595" s="208">
        <f>922200+755533+920870</f>
        <v>2598603</v>
      </c>
      <c r="G595" s="208"/>
      <c r="H595" s="208"/>
      <c r="I595" s="208"/>
      <c r="J595" s="232" t="s">
        <v>576</v>
      </c>
    </row>
    <row r="596" spans="1:12" ht="102" hidden="1" x14ac:dyDescent="0.25">
      <c r="A596" s="169"/>
      <c r="B596" s="212" t="s">
        <v>363</v>
      </c>
      <c r="C596" s="208"/>
      <c r="D596" s="208">
        <f>2339568+1998360+652544+380016+1621887</f>
        <v>6992375</v>
      </c>
      <c r="E596" s="208"/>
      <c r="F596" s="208"/>
      <c r="G596" s="208"/>
      <c r="H596" s="208"/>
      <c r="I596" s="208"/>
      <c r="J596" s="232" t="s">
        <v>364</v>
      </c>
    </row>
    <row r="597" spans="1:12" ht="66" customHeight="1" x14ac:dyDescent="0.25">
      <c r="A597" s="169"/>
      <c r="B597" s="216" t="s">
        <v>365</v>
      </c>
      <c r="C597" s="208"/>
      <c r="D597" s="208">
        <f>218427</f>
        <v>218427</v>
      </c>
      <c r="E597" s="208"/>
      <c r="F597" s="208">
        <f>218427</f>
        <v>218427</v>
      </c>
      <c r="G597" s="208"/>
      <c r="H597" s="208">
        <v>9300</v>
      </c>
      <c r="I597" s="208">
        <v>9300</v>
      </c>
      <c r="J597" s="232" t="s">
        <v>792</v>
      </c>
    </row>
    <row r="598" spans="1:12" ht="66.75" customHeight="1" x14ac:dyDescent="0.25">
      <c r="A598" s="169"/>
      <c r="B598" s="216" t="s">
        <v>366</v>
      </c>
      <c r="C598" s="208"/>
      <c r="D598" s="208">
        <f>5604810</f>
        <v>5604810</v>
      </c>
      <c r="E598" s="208"/>
      <c r="F598" s="208">
        <v>1941584</v>
      </c>
      <c r="G598" s="208"/>
      <c r="H598" s="208"/>
      <c r="I598" s="208"/>
      <c r="J598" s="232" t="s">
        <v>793</v>
      </c>
      <c r="K598" s="273"/>
      <c r="L598" s="269"/>
    </row>
    <row r="599" spans="1:12" ht="15.75" hidden="1" x14ac:dyDescent="0.25">
      <c r="A599" s="169"/>
      <c r="B599" s="216"/>
      <c r="C599" s="208"/>
      <c r="D599" s="208"/>
      <c r="E599" s="208"/>
      <c r="F599" s="208"/>
      <c r="G599" s="208"/>
      <c r="H599" s="208"/>
      <c r="I599" s="208"/>
      <c r="J599" s="232"/>
    </row>
    <row r="600" spans="1:12" ht="27.75" customHeight="1" x14ac:dyDescent="0.25">
      <c r="A600" s="169"/>
      <c r="B600" s="216"/>
      <c r="C600" s="208">
        <v>8838100</v>
      </c>
      <c r="D600" s="208"/>
      <c r="E600" s="208"/>
      <c r="F600" s="208"/>
      <c r="G600" s="208"/>
      <c r="H600" s="208"/>
      <c r="I600" s="208"/>
      <c r="J600" s="232" t="s">
        <v>579</v>
      </c>
      <c r="K600" s="259"/>
    </row>
    <row r="601" spans="1:12" ht="15.75" hidden="1" x14ac:dyDescent="0.25">
      <c r="A601" s="169"/>
      <c r="B601" s="216" t="s">
        <v>368</v>
      </c>
      <c r="C601" s="208"/>
      <c r="D601" s="208"/>
      <c r="E601" s="208"/>
      <c r="F601" s="208"/>
      <c r="G601" s="208"/>
      <c r="H601" s="208">
        <v>108191</v>
      </c>
      <c r="I601" s="208">
        <v>108191</v>
      </c>
      <c r="J601" s="232"/>
    </row>
    <row r="602" spans="1:12" ht="53.25" customHeight="1" x14ac:dyDescent="0.25">
      <c r="A602" s="169"/>
      <c r="B602" s="216" t="s">
        <v>369</v>
      </c>
      <c r="C602" s="208"/>
      <c r="D602" s="208">
        <v>1673913</v>
      </c>
      <c r="E602" s="208"/>
      <c r="F602" s="208">
        <v>1673913</v>
      </c>
      <c r="G602" s="208"/>
      <c r="H602" s="208">
        <v>79937</v>
      </c>
      <c r="I602" s="208"/>
      <c r="J602" s="232" t="s">
        <v>801</v>
      </c>
    </row>
    <row r="603" spans="1:12" ht="93" customHeight="1" x14ac:dyDescent="0.25">
      <c r="A603" s="169"/>
      <c r="B603" s="216" t="s">
        <v>370</v>
      </c>
      <c r="C603" s="208">
        <v>55000000</v>
      </c>
      <c r="D603" s="208"/>
      <c r="E603" s="208"/>
      <c r="F603" s="208"/>
      <c r="G603" s="208"/>
      <c r="H603" s="208"/>
      <c r="I603" s="208"/>
      <c r="J603" s="232" t="s">
        <v>713</v>
      </c>
    </row>
    <row r="604" spans="1:12" ht="25.5" hidden="1" x14ac:dyDescent="0.25">
      <c r="A604" s="169"/>
      <c r="B604" s="212" t="s">
        <v>362</v>
      </c>
      <c r="C604" s="208"/>
      <c r="D604" s="208"/>
      <c r="E604" s="208"/>
      <c r="F604" s="208"/>
      <c r="G604" s="208"/>
      <c r="H604" s="208">
        <v>658540</v>
      </c>
      <c r="I604" s="208">
        <v>658540</v>
      </c>
      <c r="J604" s="261"/>
    </row>
    <row r="605" spans="1:12" ht="38.25" hidden="1" x14ac:dyDescent="0.25">
      <c r="A605" s="169"/>
      <c r="B605" s="212" t="s">
        <v>362</v>
      </c>
      <c r="C605" s="208"/>
      <c r="D605" s="208">
        <v>1932115</v>
      </c>
      <c r="E605" s="208"/>
      <c r="F605" s="208"/>
      <c r="G605" s="208"/>
      <c r="H605" s="208"/>
      <c r="I605" s="208"/>
      <c r="J605" s="158" t="s">
        <v>583</v>
      </c>
    </row>
    <row r="606" spans="1:12" ht="27.75" customHeight="1" x14ac:dyDescent="0.25">
      <c r="A606" s="169"/>
      <c r="B606" s="212" t="s">
        <v>362</v>
      </c>
      <c r="C606" s="208"/>
      <c r="D606" s="208">
        <v>1087580</v>
      </c>
      <c r="E606" s="208"/>
      <c r="F606" s="208">
        <v>1087580</v>
      </c>
      <c r="G606" s="208"/>
      <c r="H606" s="208"/>
      <c r="I606" s="208"/>
      <c r="J606" s="158" t="s">
        <v>714</v>
      </c>
    </row>
    <row r="607" spans="1:12" ht="29.25" customHeight="1" x14ac:dyDescent="0.25">
      <c r="A607" s="169"/>
      <c r="B607" s="212" t="s">
        <v>373</v>
      </c>
      <c r="C607" s="208"/>
      <c r="D607" s="208">
        <v>1300000</v>
      </c>
      <c r="E607" s="208"/>
      <c r="F607" s="208">
        <v>1300000</v>
      </c>
      <c r="G607" s="208"/>
      <c r="H607" s="208"/>
      <c r="I607" s="208"/>
      <c r="J607" s="158" t="s">
        <v>584</v>
      </c>
    </row>
    <row r="608" spans="1:12" ht="25.5" hidden="1" x14ac:dyDescent="0.25">
      <c r="A608" s="169"/>
      <c r="B608" s="212" t="s">
        <v>362</v>
      </c>
      <c r="C608" s="208"/>
      <c r="D608" s="208"/>
      <c r="E608" s="208"/>
      <c r="F608" s="208"/>
      <c r="G608" s="208"/>
      <c r="H608" s="208">
        <v>2089000</v>
      </c>
      <c r="I608" s="208">
        <v>2089000</v>
      </c>
      <c r="J608" s="261"/>
    </row>
    <row r="609" spans="1:10" ht="28.5" customHeight="1" x14ac:dyDescent="0.25">
      <c r="A609" s="169"/>
      <c r="B609" s="212"/>
      <c r="C609" s="208"/>
      <c r="D609" s="208"/>
      <c r="E609" s="208"/>
      <c r="F609" s="208">
        <v>1580550</v>
      </c>
      <c r="G609" s="208"/>
      <c r="H609" s="208"/>
      <c r="I609" s="208"/>
      <c r="J609" s="261" t="s">
        <v>678</v>
      </c>
    </row>
    <row r="610" spans="1:10" ht="15.75" hidden="1" x14ac:dyDescent="0.25">
      <c r="A610" s="169"/>
      <c r="B610" s="212"/>
      <c r="C610" s="208"/>
      <c r="D610" s="208"/>
      <c r="E610" s="208"/>
      <c r="F610" s="208"/>
      <c r="G610" s="208"/>
      <c r="H610" s="208"/>
      <c r="I610" s="208"/>
      <c r="J610" s="261"/>
    </row>
    <row r="611" spans="1:10" ht="38.25" x14ac:dyDescent="0.25">
      <c r="A611" s="169"/>
      <c r="B611" s="157" t="s">
        <v>165</v>
      </c>
      <c r="C611" s="202">
        <f>C612+C613</f>
        <v>0</v>
      </c>
      <c r="D611" s="202">
        <f t="shared" ref="D611:I611" si="229">D612+D613</f>
        <v>255539</v>
      </c>
      <c r="E611" s="202">
        <f t="shared" si="229"/>
        <v>0</v>
      </c>
      <c r="F611" s="202">
        <f t="shared" si="229"/>
        <v>255539</v>
      </c>
      <c r="G611" s="202">
        <f t="shared" si="229"/>
        <v>0</v>
      </c>
      <c r="H611" s="202">
        <f t="shared" si="229"/>
        <v>10000</v>
      </c>
      <c r="I611" s="202">
        <f t="shared" si="229"/>
        <v>10000</v>
      </c>
      <c r="J611" s="199"/>
    </row>
    <row r="612" spans="1:10" ht="29.25" customHeight="1" x14ac:dyDescent="0.25">
      <c r="A612" s="169"/>
      <c r="B612" s="212"/>
      <c r="C612" s="208"/>
      <c r="D612" s="208">
        <v>255539</v>
      </c>
      <c r="E612" s="208"/>
      <c r="F612" s="208">
        <v>255539</v>
      </c>
      <c r="G612" s="208"/>
      <c r="H612" s="208"/>
      <c r="I612" s="208"/>
      <c r="J612" s="158" t="s">
        <v>571</v>
      </c>
    </row>
    <row r="613" spans="1:10" ht="15.75" hidden="1" x14ac:dyDescent="0.25">
      <c r="A613" s="169"/>
      <c r="B613" s="212"/>
      <c r="C613" s="208"/>
      <c r="D613" s="208"/>
      <c r="E613" s="208"/>
      <c r="F613" s="208"/>
      <c r="G613" s="208"/>
      <c r="H613" s="208">
        <v>10000</v>
      </c>
      <c r="I613" s="208">
        <v>10000</v>
      </c>
      <c r="J613" s="158"/>
    </row>
    <row r="614" spans="1:10" ht="30" customHeight="1" x14ac:dyDescent="0.25">
      <c r="A614" s="169"/>
      <c r="B614" s="157" t="s">
        <v>376</v>
      </c>
      <c r="C614" s="202">
        <f t="shared" ref="C614:I614" si="230">SUM(C615:C619)</f>
        <v>0</v>
      </c>
      <c r="D614" s="202">
        <f t="shared" si="230"/>
        <v>2466966</v>
      </c>
      <c r="E614" s="202">
        <f t="shared" si="230"/>
        <v>0</v>
      </c>
      <c r="F614" s="202">
        <f t="shared" si="230"/>
        <v>886748</v>
      </c>
      <c r="G614" s="202">
        <f t="shared" si="230"/>
        <v>0</v>
      </c>
      <c r="H614" s="202">
        <f t="shared" si="230"/>
        <v>0</v>
      </c>
      <c r="I614" s="202">
        <f t="shared" si="230"/>
        <v>0</v>
      </c>
      <c r="J614" s="261"/>
    </row>
    <row r="615" spans="1:10" ht="28.5" customHeight="1" x14ac:dyDescent="0.25">
      <c r="A615" s="169"/>
      <c r="B615" s="212"/>
      <c r="C615" s="208"/>
      <c r="D615" s="208">
        <v>725748</v>
      </c>
      <c r="E615" s="208"/>
      <c r="F615" s="208">
        <v>725748</v>
      </c>
      <c r="G615" s="208"/>
      <c r="H615" s="208"/>
      <c r="I615" s="208"/>
      <c r="J615" s="158" t="s">
        <v>571</v>
      </c>
    </row>
    <row r="616" spans="1:10" ht="25.5" hidden="1" x14ac:dyDescent="0.25">
      <c r="A616" s="169"/>
      <c r="B616" s="212"/>
      <c r="C616" s="208"/>
      <c r="D616" s="208">
        <f>652164+196954</f>
        <v>849118</v>
      </c>
      <c r="E616" s="208"/>
      <c r="F616" s="208"/>
      <c r="G616" s="208"/>
      <c r="H616" s="208"/>
      <c r="I616" s="208"/>
      <c r="J616" s="158" t="s">
        <v>377</v>
      </c>
    </row>
    <row r="617" spans="1:10" ht="25.5" x14ac:dyDescent="0.25">
      <c r="A617" s="169"/>
      <c r="B617" s="212"/>
      <c r="C617" s="208"/>
      <c r="D617" s="208">
        <v>150000</v>
      </c>
      <c r="E617" s="208"/>
      <c r="F617" s="208">
        <v>150000</v>
      </c>
      <c r="G617" s="208"/>
      <c r="H617" s="208"/>
      <c r="I617" s="208"/>
      <c r="J617" s="158" t="s">
        <v>715</v>
      </c>
    </row>
    <row r="618" spans="1:10" ht="18" customHeight="1" x14ac:dyDescent="0.25">
      <c r="A618" s="169"/>
      <c r="B618" s="212"/>
      <c r="C618" s="208"/>
      <c r="D618" s="208">
        <v>11000</v>
      </c>
      <c r="E618" s="208"/>
      <c r="F618" s="208">
        <v>11000</v>
      </c>
      <c r="G618" s="208"/>
      <c r="H618" s="208"/>
      <c r="I618" s="208"/>
      <c r="J618" s="158" t="s">
        <v>586</v>
      </c>
    </row>
    <row r="619" spans="1:10" ht="63.75" hidden="1" x14ac:dyDescent="0.25">
      <c r="A619" s="169"/>
      <c r="B619" s="212"/>
      <c r="C619" s="208"/>
      <c r="D619" s="208">
        <v>731100</v>
      </c>
      <c r="E619" s="208"/>
      <c r="F619" s="208"/>
      <c r="G619" s="208"/>
      <c r="H619" s="208"/>
      <c r="I619" s="208"/>
      <c r="J619" s="158" t="s">
        <v>378</v>
      </c>
    </row>
    <row r="620" spans="1:10" ht="25.5" x14ac:dyDescent="0.25">
      <c r="A620" s="169"/>
      <c r="B620" s="157" t="s">
        <v>119</v>
      </c>
      <c r="C620" s="202">
        <f>SUM(C621:C625)</f>
        <v>0</v>
      </c>
      <c r="D620" s="202">
        <f t="shared" ref="D620:I620" si="231">SUM(D621:D625)</f>
        <v>4356510</v>
      </c>
      <c r="E620" s="202">
        <f t="shared" si="231"/>
        <v>0</v>
      </c>
      <c r="F620" s="202">
        <f t="shared" si="231"/>
        <v>4296510</v>
      </c>
      <c r="G620" s="202">
        <f t="shared" si="231"/>
        <v>0</v>
      </c>
      <c r="H620" s="202">
        <f t="shared" si="231"/>
        <v>3000</v>
      </c>
      <c r="I620" s="202">
        <f t="shared" si="231"/>
        <v>3000</v>
      </c>
      <c r="J620" s="261"/>
    </row>
    <row r="621" spans="1:10" ht="31.5" customHeight="1" x14ac:dyDescent="0.25">
      <c r="A621" s="169"/>
      <c r="B621" s="212"/>
      <c r="C621" s="208"/>
      <c r="D621" s="208">
        <v>432260</v>
      </c>
      <c r="E621" s="208"/>
      <c r="F621" s="208">
        <v>432260</v>
      </c>
      <c r="G621" s="208"/>
      <c r="H621" s="208"/>
      <c r="I621" s="208"/>
      <c r="J621" s="158" t="s">
        <v>571</v>
      </c>
    </row>
    <row r="622" spans="1:10" ht="30" customHeight="1" x14ac:dyDescent="0.25">
      <c r="A622" s="169"/>
      <c r="B622" s="212"/>
      <c r="C622" s="208"/>
      <c r="D622" s="208">
        <v>3660700</v>
      </c>
      <c r="E622" s="208"/>
      <c r="F622" s="208">
        <v>3660700</v>
      </c>
      <c r="G622" s="208"/>
      <c r="H622" s="208"/>
      <c r="I622" s="208"/>
      <c r="J622" s="158" t="s">
        <v>794</v>
      </c>
    </row>
    <row r="623" spans="1:10" ht="42.75" customHeight="1" x14ac:dyDescent="0.25">
      <c r="A623" s="169"/>
      <c r="B623" s="212"/>
      <c r="C623" s="208"/>
      <c r="D623" s="208">
        <f>112750+10800</f>
        <v>123550</v>
      </c>
      <c r="E623" s="208"/>
      <c r="F623" s="208">
        <f>112750+10800</f>
        <v>123550</v>
      </c>
      <c r="G623" s="208"/>
      <c r="H623" s="208"/>
      <c r="I623" s="208"/>
      <c r="J623" s="158" t="s">
        <v>716</v>
      </c>
    </row>
    <row r="624" spans="1:10" ht="18" customHeight="1" x14ac:dyDescent="0.25">
      <c r="A624" s="169"/>
      <c r="B624" s="212"/>
      <c r="C624" s="208"/>
      <c r="D624" s="208">
        <v>140000</v>
      </c>
      <c r="E624" s="208"/>
      <c r="F624" s="208">
        <v>80000</v>
      </c>
      <c r="G624" s="208"/>
      <c r="H624" s="208"/>
      <c r="I624" s="208"/>
      <c r="J624" s="158" t="s">
        <v>616</v>
      </c>
    </row>
    <row r="625" spans="1:10" ht="15.75" hidden="1" x14ac:dyDescent="0.25">
      <c r="A625" s="169"/>
      <c r="B625" s="212"/>
      <c r="C625" s="208"/>
      <c r="D625" s="208"/>
      <c r="E625" s="208"/>
      <c r="F625" s="208"/>
      <c r="G625" s="208"/>
      <c r="H625" s="208">
        <v>3000</v>
      </c>
      <c r="I625" s="208">
        <v>3000</v>
      </c>
      <c r="J625" s="158"/>
    </row>
    <row r="626" spans="1:10" ht="39.75" customHeight="1" x14ac:dyDescent="0.25">
      <c r="A626" s="169"/>
      <c r="B626" s="157" t="s">
        <v>122</v>
      </c>
      <c r="C626" s="202">
        <f>SUM(C627:C629)</f>
        <v>0</v>
      </c>
      <c r="D626" s="202">
        <f t="shared" ref="D626:I626" si="232">SUM(D627:D629)</f>
        <v>798342</v>
      </c>
      <c r="E626" s="202">
        <f t="shared" si="232"/>
        <v>0</v>
      </c>
      <c r="F626" s="202">
        <f t="shared" si="232"/>
        <v>679092</v>
      </c>
      <c r="G626" s="202">
        <f t="shared" si="232"/>
        <v>0</v>
      </c>
      <c r="H626" s="202">
        <f t="shared" si="232"/>
        <v>70000</v>
      </c>
      <c r="I626" s="202">
        <f t="shared" si="232"/>
        <v>70000</v>
      </c>
      <c r="J626" s="261"/>
    </row>
    <row r="627" spans="1:10" ht="33" customHeight="1" x14ac:dyDescent="0.25">
      <c r="A627" s="169"/>
      <c r="B627" s="212"/>
      <c r="C627" s="208"/>
      <c r="D627" s="208">
        <v>679092</v>
      </c>
      <c r="E627" s="208"/>
      <c r="F627" s="208">
        <v>679092</v>
      </c>
      <c r="G627" s="208"/>
      <c r="H627" s="208"/>
      <c r="I627" s="208"/>
      <c r="J627" s="158" t="s">
        <v>571</v>
      </c>
    </row>
    <row r="628" spans="1:10" ht="15.75" hidden="1" x14ac:dyDescent="0.25">
      <c r="A628" s="169"/>
      <c r="B628" s="212"/>
      <c r="C628" s="208"/>
      <c r="D628" s="208"/>
      <c r="E628" s="208"/>
      <c r="F628" s="208"/>
      <c r="G628" s="208"/>
      <c r="H628" s="208">
        <v>70000</v>
      </c>
      <c r="I628" s="208">
        <v>70000</v>
      </c>
      <c r="J628" s="123"/>
    </row>
    <row r="629" spans="1:10" ht="38.25" hidden="1" x14ac:dyDescent="0.25">
      <c r="A629" s="169"/>
      <c r="B629" s="212"/>
      <c r="C629" s="208"/>
      <c r="D629" s="208">
        <v>119250</v>
      </c>
      <c r="E629" s="208"/>
      <c r="F629" s="208"/>
      <c r="G629" s="208"/>
      <c r="H629" s="208"/>
      <c r="I629" s="208"/>
      <c r="J629" s="158" t="s">
        <v>381</v>
      </c>
    </row>
    <row r="630" spans="1:10" ht="28.5" customHeight="1" x14ac:dyDescent="0.25">
      <c r="A630" s="169"/>
      <c r="B630" s="157" t="s">
        <v>123</v>
      </c>
      <c r="C630" s="202">
        <f>C631</f>
        <v>0</v>
      </c>
      <c r="D630" s="202">
        <f t="shared" ref="D630:I630" si="233">D631</f>
        <v>916696</v>
      </c>
      <c r="E630" s="202">
        <f t="shared" si="233"/>
        <v>0</v>
      </c>
      <c r="F630" s="202">
        <f t="shared" si="233"/>
        <v>317884</v>
      </c>
      <c r="G630" s="202">
        <f t="shared" si="233"/>
        <v>0</v>
      </c>
      <c r="H630" s="202">
        <f t="shared" si="233"/>
        <v>0</v>
      </c>
      <c r="I630" s="202">
        <f t="shared" si="233"/>
        <v>0</v>
      </c>
      <c r="J630" s="261"/>
    </row>
    <row r="631" spans="1:10" ht="28.5" customHeight="1" x14ac:dyDescent="0.25">
      <c r="A631" s="169"/>
      <c r="B631" s="212"/>
      <c r="C631" s="208"/>
      <c r="D631" s="208">
        <v>916696</v>
      </c>
      <c r="E631" s="208"/>
      <c r="F631" s="208">
        <v>317884</v>
      </c>
      <c r="G631" s="208"/>
      <c r="H631" s="208"/>
      <c r="I631" s="208"/>
      <c r="J631" s="158" t="s">
        <v>571</v>
      </c>
    </row>
    <row r="632" spans="1:10" ht="39" customHeight="1" x14ac:dyDescent="0.25">
      <c r="A632" s="169"/>
      <c r="B632" s="157" t="s">
        <v>29</v>
      </c>
      <c r="C632" s="202">
        <f>SUM(C633:C635)</f>
        <v>0</v>
      </c>
      <c r="D632" s="202">
        <f t="shared" ref="D632:I632" si="234">SUM(D633:D635)</f>
        <v>1589265</v>
      </c>
      <c r="E632" s="202">
        <f t="shared" si="234"/>
        <v>14573</v>
      </c>
      <c r="F632" s="202">
        <f t="shared" si="234"/>
        <v>1042080</v>
      </c>
      <c r="G632" s="202">
        <f t="shared" si="234"/>
        <v>14573</v>
      </c>
      <c r="H632" s="202">
        <f t="shared" si="234"/>
        <v>0</v>
      </c>
      <c r="I632" s="202">
        <f t="shared" si="234"/>
        <v>0</v>
      </c>
      <c r="J632" s="261"/>
    </row>
    <row r="633" spans="1:10" ht="28.5" customHeight="1" x14ac:dyDescent="0.25">
      <c r="A633" s="169"/>
      <c r="B633" s="212"/>
      <c r="C633" s="208"/>
      <c r="D633" s="208">
        <f>171900+345930</f>
        <v>517830</v>
      </c>
      <c r="E633" s="208"/>
      <c r="F633" s="208">
        <v>355080</v>
      </c>
      <c r="G633" s="208"/>
      <c r="H633" s="208"/>
      <c r="I633" s="208"/>
      <c r="J633" s="158" t="s">
        <v>571</v>
      </c>
    </row>
    <row r="634" spans="1:10" ht="15.75" x14ac:dyDescent="0.25">
      <c r="A634" s="169"/>
      <c r="B634" s="212"/>
      <c r="C634" s="208"/>
      <c r="D634" s="208">
        <v>1071435</v>
      </c>
      <c r="E634" s="208"/>
      <c r="F634" s="208">
        <v>687000</v>
      </c>
      <c r="G634" s="208"/>
      <c r="H634" s="208"/>
      <c r="I634" s="208"/>
      <c r="J634" s="158" t="s">
        <v>679</v>
      </c>
    </row>
    <row r="635" spans="1:10" ht="29.25" customHeight="1" x14ac:dyDescent="0.25">
      <c r="A635" s="169"/>
      <c r="B635" s="212"/>
      <c r="C635" s="208"/>
      <c r="D635" s="208"/>
      <c r="E635" s="208">
        <v>14573</v>
      </c>
      <c r="F635" s="208"/>
      <c r="G635" s="208">
        <v>14573</v>
      </c>
      <c r="H635" s="208"/>
      <c r="I635" s="208"/>
      <c r="J635" s="158" t="s">
        <v>590</v>
      </c>
    </row>
    <row r="636" spans="1:10" ht="27.75" customHeight="1" x14ac:dyDescent="0.25">
      <c r="A636" s="169"/>
      <c r="B636" s="157" t="s">
        <v>269</v>
      </c>
      <c r="C636" s="202">
        <f>C637+C638</f>
        <v>0</v>
      </c>
      <c r="D636" s="202">
        <f t="shared" ref="D636:I636" si="235">D637+D638</f>
        <v>58033</v>
      </c>
      <c r="E636" s="202">
        <f t="shared" si="235"/>
        <v>0</v>
      </c>
      <c r="F636" s="202">
        <f t="shared" si="235"/>
        <v>58033</v>
      </c>
      <c r="G636" s="202">
        <f t="shared" si="235"/>
        <v>0</v>
      </c>
      <c r="H636" s="202">
        <f t="shared" si="235"/>
        <v>3893</v>
      </c>
      <c r="I636" s="202">
        <f t="shared" si="235"/>
        <v>3893</v>
      </c>
      <c r="J636" s="261"/>
    </row>
    <row r="637" spans="1:10" ht="30.75" customHeight="1" x14ac:dyDescent="0.25">
      <c r="A637" s="169"/>
      <c r="B637" s="212"/>
      <c r="C637" s="208"/>
      <c r="D637" s="208">
        <v>58033</v>
      </c>
      <c r="E637" s="208"/>
      <c r="F637" s="208">
        <v>58033</v>
      </c>
      <c r="G637" s="208"/>
      <c r="H637" s="208"/>
      <c r="I637" s="208"/>
      <c r="J637" s="158" t="s">
        <v>571</v>
      </c>
    </row>
    <row r="638" spans="1:10" ht="15.75" hidden="1" x14ac:dyDescent="0.25">
      <c r="A638" s="169"/>
      <c r="B638" s="212"/>
      <c r="C638" s="208"/>
      <c r="D638" s="208"/>
      <c r="E638" s="208"/>
      <c r="F638" s="208"/>
      <c r="G638" s="208"/>
      <c r="H638" s="208">
        <v>3893</v>
      </c>
      <c r="I638" s="208">
        <v>3893</v>
      </c>
      <c r="J638" s="158"/>
    </row>
    <row r="639" spans="1:10" ht="15.75" hidden="1" x14ac:dyDescent="0.25">
      <c r="A639" s="169"/>
      <c r="B639" s="212"/>
      <c r="C639" s="208"/>
      <c r="D639" s="208"/>
      <c r="E639" s="208"/>
      <c r="F639" s="208"/>
      <c r="G639" s="208"/>
      <c r="H639" s="208"/>
      <c r="I639" s="208"/>
      <c r="J639" s="158"/>
    </row>
    <row r="640" spans="1:10" ht="27.75" customHeight="1" x14ac:dyDescent="0.25">
      <c r="A640" s="169"/>
      <c r="B640" s="157" t="s">
        <v>124</v>
      </c>
      <c r="C640" s="202">
        <f>SUM(C641:C643)</f>
        <v>0</v>
      </c>
      <c r="D640" s="202">
        <f t="shared" ref="D640:I640" si="236">SUM(D641:D643)</f>
        <v>242179</v>
      </c>
      <c r="E640" s="202">
        <f t="shared" si="236"/>
        <v>26757</v>
      </c>
      <c r="F640" s="202">
        <f t="shared" si="236"/>
        <v>242179</v>
      </c>
      <c r="G640" s="202">
        <f t="shared" si="236"/>
        <v>26757</v>
      </c>
      <c r="H640" s="202">
        <f t="shared" si="236"/>
        <v>0</v>
      </c>
      <c r="I640" s="202">
        <f t="shared" si="236"/>
        <v>0</v>
      </c>
      <c r="J640" s="261"/>
    </row>
    <row r="641" spans="1:10" ht="30.75" customHeight="1" x14ac:dyDescent="0.25">
      <c r="A641" s="169"/>
      <c r="B641" s="212"/>
      <c r="C641" s="202"/>
      <c r="D641" s="208">
        <v>192179</v>
      </c>
      <c r="E641" s="208"/>
      <c r="F641" s="208">
        <v>192179</v>
      </c>
      <c r="G641" s="208"/>
      <c r="H641" s="202"/>
      <c r="I641" s="202"/>
      <c r="J641" s="158" t="s">
        <v>571</v>
      </c>
    </row>
    <row r="642" spans="1:10" ht="30" customHeight="1" x14ac:dyDescent="0.25">
      <c r="A642" s="169"/>
      <c r="B642" s="212"/>
      <c r="C642" s="208"/>
      <c r="D642" s="208"/>
      <c r="E642" s="208">
        <v>26757</v>
      </c>
      <c r="F642" s="208"/>
      <c r="G642" s="208">
        <v>26757</v>
      </c>
      <c r="H642" s="208"/>
      <c r="I642" s="208"/>
      <c r="J642" s="158" t="s">
        <v>382</v>
      </c>
    </row>
    <row r="643" spans="1:10" ht="30" customHeight="1" x14ac:dyDescent="0.25">
      <c r="A643" s="169"/>
      <c r="B643" s="212"/>
      <c r="C643" s="208"/>
      <c r="D643" s="208">
        <v>50000</v>
      </c>
      <c r="E643" s="208"/>
      <c r="F643" s="208">
        <v>50000</v>
      </c>
      <c r="G643" s="208"/>
      <c r="H643" s="208"/>
      <c r="I643" s="208"/>
      <c r="J643" s="158" t="s">
        <v>795</v>
      </c>
    </row>
    <row r="644" spans="1:10" ht="42" customHeight="1" x14ac:dyDescent="0.25">
      <c r="A644" s="169"/>
      <c r="B644" s="157" t="s">
        <v>125</v>
      </c>
      <c r="C644" s="202">
        <f>SUM(C645:C648)</f>
        <v>0</v>
      </c>
      <c r="D644" s="202">
        <f t="shared" ref="D644:I644" si="237">SUM(D645:D648)</f>
        <v>752447</v>
      </c>
      <c r="E644" s="202">
        <f t="shared" si="237"/>
        <v>350</v>
      </c>
      <c r="F644" s="202">
        <f t="shared" si="237"/>
        <v>752447</v>
      </c>
      <c r="G644" s="202">
        <f t="shared" si="237"/>
        <v>350</v>
      </c>
      <c r="H644" s="202">
        <f t="shared" si="237"/>
        <v>107000</v>
      </c>
      <c r="I644" s="202">
        <f t="shared" si="237"/>
        <v>107000</v>
      </c>
      <c r="J644" s="261"/>
    </row>
    <row r="645" spans="1:10" ht="30.75" customHeight="1" x14ac:dyDescent="0.25">
      <c r="A645" s="169"/>
      <c r="B645" s="157"/>
      <c r="C645" s="202"/>
      <c r="D645" s="208">
        <v>752447</v>
      </c>
      <c r="E645" s="208"/>
      <c r="F645" s="208">
        <v>752447</v>
      </c>
      <c r="G645" s="208"/>
      <c r="H645" s="208"/>
      <c r="I645" s="208"/>
      <c r="J645" s="158" t="s">
        <v>337</v>
      </c>
    </row>
    <row r="646" spans="1:10" ht="30" customHeight="1" x14ac:dyDescent="0.25">
      <c r="A646" s="169"/>
      <c r="B646" s="157"/>
      <c r="C646" s="202"/>
      <c r="D646" s="208"/>
      <c r="E646" s="208">
        <v>350</v>
      </c>
      <c r="F646" s="208"/>
      <c r="G646" s="208">
        <v>350</v>
      </c>
      <c r="H646" s="208"/>
      <c r="I646" s="208"/>
      <c r="J646" s="158" t="s">
        <v>590</v>
      </c>
    </row>
    <row r="647" spans="1:10" ht="15.75" hidden="1" x14ac:dyDescent="0.25">
      <c r="A647" s="169"/>
      <c r="B647" s="157"/>
      <c r="C647" s="202"/>
      <c r="D647" s="208"/>
      <c r="E647" s="208"/>
      <c r="F647" s="208"/>
      <c r="G647" s="208"/>
      <c r="H647" s="208">
        <v>102500</v>
      </c>
      <c r="I647" s="208">
        <v>102500</v>
      </c>
      <c r="J647" s="158"/>
    </row>
    <row r="648" spans="1:10" ht="15.75" hidden="1" x14ac:dyDescent="0.25">
      <c r="A648" s="169"/>
      <c r="B648" s="212"/>
      <c r="C648" s="208"/>
      <c r="D648" s="208"/>
      <c r="E648" s="208"/>
      <c r="F648" s="208"/>
      <c r="G648" s="208"/>
      <c r="H648" s="208">
        <v>4500</v>
      </c>
      <c r="I648" s="208">
        <v>4500</v>
      </c>
      <c r="J648" s="158"/>
    </row>
    <row r="649" spans="1:10" ht="30" customHeight="1" x14ac:dyDescent="0.25">
      <c r="A649" s="169"/>
      <c r="B649" s="157" t="s">
        <v>148</v>
      </c>
      <c r="C649" s="202">
        <f>SUM(C650:C652)</f>
        <v>0</v>
      </c>
      <c r="D649" s="202">
        <f t="shared" ref="D649:I649" si="238">SUM(D650:D652)</f>
        <v>3599000</v>
      </c>
      <c r="E649" s="202">
        <f t="shared" si="238"/>
        <v>0</v>
      </c>
      <c r="F649" s="202">
        <f t="shared" si="238"/>
        <v>1696477</v>
      </c>
      <c r="G649" s="202">
        <f t="shared" si="238"/>
        <v>0</v>
      </c>
      <c r="H649" s="202">
        <f t="shared" si="238"/>
        <v>0</v>
      </c>
      <c r="I649" s="202">
        <f t="shared" si="238"/>
        <v>0</v>
      </c>
      <c r="J649" s="261"/>
    </row>
    <row r="650" spans="1:10" ht="30" customHeight="1" x14ac:dyDescent="0.25">
      <c r="A650" s="169"/>
      <c r="B650" s="157"/>
      <c r="C650" s="202"/>
      <c r="D650" s="208">
        <v>2721000</v>
      </c>
      <c r="E650" s="208"/>
      <c r="F650" s="208">
        <v>1108477</v>
      </c>
      <c r="G650" s="208"/>
      <c r="H650" s="208"/>
      <c r="I650" s="202"/>
      <c r="J650" s="158" t="s">
        <v>571</v>
      </c>
    </row>
    <row r="651" spans="1:10" ht="15.75" x14ac:dyDescent="0.25">
      <c r="A651" s="169"/>
      <c r="B651" s="157"/>
      <c r="C651" s="202"/>
      <c r="D651" s="208">
        <v>200000</v>
      </c>
      <c r="E651" s="208"/>
      <c r="F651" s="208">
        <v>210000</v>
      </c>
      <c r="G651" s="208"/>
      <c r="H651" s="208"/>
      <c r="I651" s="202"/>
      <c r="J651" s="158" t="s">
        <v>341</v>
      </c>
    </row>
    <row r="652" spans="1:10" ht="30.75" customHeight="1" x14ac:dyDescent="0.25">
      <c r="A652" s="169"/>
      <c r="B652" s="157"/>
      <c r="C652" s="202"/>
      <c r="D652" s="208">
        <v>678000</v>
      </c>
      <c r="E652" s="208"/>
      <c r="F652" s="208">
        <v>378000</v>
      </c>
      <c r="G652" s="208"/>
      <c r="H652" s="208"/>
      <c r="I652" s="202"/>
      <c r="J652" s="158" t="s">
        <v>662</v>
      </c>
    </row>
    <row r="653" spans="1:10" ht="15.75" hidden="1" x14ac:dyDescent="0.25">
      <c r="A653" s="169"/>
      <c r="B653" s="212"/>
      <c r="C653" s="208"/>
      <c r="D653" s="208"/>
      <c r="E653" s="208"/>
      <c r="F653" s="208"/>
      <c r="G653" s="208"/>
      <c r="H653" s="208"/>
      <c r="I653" s="208"/>
      <c r="J653" s="158"/>
    </row>
    <row r="654" spans="1:10" ht="15.75" hidden="1" x14ac:dyDescent="0.25">
      <c r="A654" s="169"/>
      <c r="B654" s="212"/>
      <c r="C654" s="208"/>
      <c r="D654" s="208"/>
      <c r="E654" s="208"/>
      <c r="F654" s="208"/>
      <c r="G654" s="208"/>
      <c r="H654" s="208"/>
      <c r="I654" s="208"/>
      <c r="J654" s="158"/>
    </row>
    <row r="655" spans="1:10" ht="15.75" hidden="1" x14ac:dyDescent="0.25">
      <c r="A655" s="169"/>
      <c r="B655" s="212"/>
      <c r="C655" s="208"/>
      <c r="D655" s="208"/>
      <c r="E655" s="208"/>
      <c r="F655" s="208"/>
      <c r="G655" s="208"/>
      <c r="H655" s="208"/>
      <c r="I655" s="208"/>
      <c r="J655" s="158"/>
    </row>
    <row r="656" spans="1:10" ht="15.75" hidden="1" x14ac:dyDescent="0.25">
      <c r="A656" s="169"/>
      <c r="B656" s="212"/>
      <c r="C656" s="208"/>
      <c r="D656" s="208"/>
      <c r="E656" s="208"/>
      <c r="F656" s="208"/>
      <c r="G656" s="208"/>
      <c r="H656" s="208"/>
      <c r="I656" s="208"/>
      <c r="J656" s="158"/>
    </row>
    <row r="657" spans="1:11" ht="15.75" hidden="1" x14ac:dyDescent="0.25">
      <c r="A657" s="169"/>
      <c r="B657" s="212"/>
      <c r="C657" s="208"/>
      <c r="D657" s="208"/>
      <c r="E657" s="208"/>
      <c r="F657" s="208"/>
      <c r="G657" s="208"/>
      <c r="H657" s="208"/>
      <c r="I657" s="208"/>
      <c r="J657" s="158"/>
    </row>
    <row r="658" spans="1:11" ht="25.5" x14ac:dyDescent="0.25">
      <c r="A658" s="169"/>
      <c r="B658" s="157" t="s">
        <v>81</v>
      </c>
      <c r="C658" s="202">
        <f>SUM(C659:C665)</f>
        <v>0</v>
      </c>
      <c r="D658" s="202">
        <f t="shared" ref="D658:I658" si="239">SUM(D659:D665)</f>
        <v>13351358</v>
      </c>
      <c r="E658" s="202">
        <f t="shared" si="239"/>
        <v>16999</v>
      </c>
      <c r="F658" s="202">
        <f t="shared" si="239"/>
        <v>10273893</v>
      </c>
      <c r="G658" s="202">
        <f t="shared" si="239"/>
        <v>16999</v>
      </c>
      <c r="H658" s="202">
        <f t="shared" si="239"/>
        <v>546379</v>
      </c>
      <c r="I658" s="202">
        <f t="shared" si="239"/>
        <v>546379</v>
      </c>
      <c r="J658" s="123"/>
    </row>
    <row r="659" spans="1:11" ht="27" customHeight="1" x14ac:dyDescent="0.25">
      <c r="A659" s="169"/>
      <c r="B659" s="212"/>
      <c r="C659" s="208"/>
      <c r="D659" s="208">
        <v>395555</v>
      </c>
      <c r="E659" s="208"/>
      <c r="F659" s="208">
        <v>395555</v>
      </c>
      <c r="G659" s="208"/>
      <c r="H659" s="208"/>
      <c r="I659" s="208"/>
      <c r="J659" s="158" t="s">
        <v>571</v>
      </c>
    </row>
    <row r="660" spans="1:11" ht="15.75" hidden="1" x14ac:dyDescent="0.25">
      <c r="A660" s="169"/>
      <c r="B660" s="212"/>
      <c r="C660" s="208"/>
      <c r="D660" s="208">
        <v>90000</v>
      </c>
      <c r="E660" s="208"/>
      <c r="F660" s="208"/>
      <c r="G660" s="208"/>
      <c r="H660" s="208"/>
      <c r="I660" s="208"/>
      <c r="J660" s="123"/>
    </row>
    <row r="661" spans="1:11" ht="53.25" customHeight="1" x14ac:dyDescent="0.25">
      <c r="A661" s="169"/>
      <c r="B661" s="212" t="s">
        <v>388</v>
      </c>
      <c r="C661" s="208"/>
      <c r="D661" s="208"/>
      <c r="E661" s="208"/>
      <c r="F661" s="208">
        <v>3000000</v>
      </c>
      <c r="G661" s="208"/>
      <c r="H661" s="208"/>
      <c r="I661" s="208"/>
      <c r="J661" s="123" t="s">
        <v>796</v>
      </c>
    </row>
    <row r="662" spans="1:11" ht="15.75" x14ac:dyDescent="0.25">
      <c r="A662" s="169"/>
      <c r="B662" s="212" t="s">
        <v>386</v>
      </c>
      <c r="C662" s="208"/>
      <c r="D662" s="208"/>
      <c r="E662" s="208">
        <v>16999</v>
      </c>
      <c r="F662" s="208"/>
      <c r="G662" s="208">
        <v>16999</v>
      </c>
      <c r="H662" s="208"/>
      <c r="I662" s="208"/>
      <c r="J662" s="123" t="s">
        <v>717</v>
      </c>
    </row>
    <row r="663" spans="1:11" ht="53.25" customHeight="1" x14ac:dyDescent="0.25">
      <c r="A663" s="169"/>
      <c r="B663" s="212" t="s">
        <v>388</v>
      </c>
      <c r="C663" s="208"/>
      <c r="D663" s="208">
        <v>6878338</v>
      </c>
      <c r="E663" s="208"/>
      <c r="F663" s="208">
        <v>6878338</v>
      </c>
      <c r="G663" s="208"/>
      <c r="H663" s="208"/>
      <c r="I663" s="208"/>
      <c r="J663" s="123" t="s">
        <v>682</v>
      </c>
    </row>
    <row r="664" spans="1:11" ht="15.75" hidden="1" x14ac:dyDescent="0.25">
      <c r="A664" s="169"/>
      <c r="B664" s="212"/>
      <c r="C664" s="208"/>
      <c r="D664" s="208">
        <v>5987465</v>
      </c>
      <c r="E664" s="208"/>
      <c r="F664" s="208"/>
      <c r="G664" s="208"/>
      <c r="H664" s="208"/>
      <c r="I664" s="208"/>
      <c r="J664" s="123"/>
    </row>
    <row r="665" spans="1:11" ht="15.75" hidden="1" x14ac:dyDescent="0.25">
      <c r="A665" s="169"/>
      <c r="B665" s="212"/>
      <c r="C665" s="208"/>
      <c r="D665" s="208"/>
      <c r="E665" s="208"/>
      <c r="F665" s="208"/>
      <c r="G665" s="208"/>
      <c r="H665" s="208">
        <v>546379</v>
      </c>
      <c r="I665" s="208">
        <v>546379</v>
      </c>
      <c r="J665" s="123"/>
    </row>
    <row r="666" spans="1:11" ht="29.25" customHeight="1" x14ac:dyDescent="0.25">
      <c r="A666" s="169"/>
      <c r="B666" s="157" t="s">
        <v>31</v>
      </c>
      <c r="C666" s="202">
        <f>C667+C668</f>
        <v>0</v>
      </c>
      <c r="D666" s="202">
        <f t="shared" ref="D666:I666" si="240">D667+D668</f>
        <v>370409</v>
      </c>
      <c r="E666" s="202">
        <f t="shared" si="240"/>
        <v>0</v>
      </c>
      <c r="F666" s="202">
        <f t="shared" si="240"/>
        <v>370409</v>
      </c>
      <c r="G666" s="202">
        <f t="shared" si="240"/>
        <v>0</v>
      </c>
      <c r="H666" s="202">
        <f t="shared" si="240"/>
        <v>0</v>
      </c>
      <c r="I666" s="202">
        <f t="shared" si="240"/>
        <v>0</v>
      </c>
      <c r="J666" s="123"/>
    </row>
    <row r="667" spans="1:11" ht="29.25" customHeight="1" x14ac:dyDescent="0.25">
      <c r="A667" s="169"/>
      <c r="B667" s="212"/>
      <c r="C667" s="208"/>
      <c r="D667" s="208">
        <v>314909</v>
      </c>
      <c r="E667" s="208"/>
      <c r="F667" s="208">
        <v>314909</v>
      </c>
      <c r="G667" s="208"/>
      <c r="H667" s="208"/>
      <c r="I667" s="208"/>
      <c r="J667" s="158" t="s">
        <v>571</v>
      </c>
      <c r="K667" s="162"/>
    </row>
    <row r="668" spans="1:11" ht="42" customHeight="1" x14ac:dyDescent="0.25">
      <c r="A668" s="169"/>
      <c r="B668" s="212"/>
      <c r="C668" s="208"/>
      <c r="D668" s="208">
        <v>55500</v>
      </c>
      <c r="E668" s="208"/>
      <c r="F668" s="208">
        <v>55500</v>
      </c>
      <c r="G668" s="208"/>
      <c r="H668" s="208"/>
      <c r="I668" s="208"/>
      <c r="J668" s="123" t="s">
        <v>718</v>
      </c>
      <c r="K668" s="162"/>
    </row>
    <row r="669" spans="1:11" ht="15.75" hidden="1" x14ac:dyDescent="0.25">
      <c r="A669" s="169"/>
      <c r="B669" s="212"/>
      <c r="C669" s="208"/>
      <c r="D669" s="208"/>
      <c r="E669" s="208"/>
      <c r="F669" s="208"/>
      <c r="G669" s="208"/>
      <c r="H669" s="208"/>
      <c r="I669" s="208"/>
      <c r="J669" s="232"/>
      <c r="K669" s="162"/>
    </row>
    <row r="670" spans="1:11" ht="15.75" hidden="1" x14ac:dyDescent="0.25">
      <c r="A670" s="169"/>
      <c r="B670" s="212"/>
      <c r="C670" s="208"/>
      <c r="D670" s="208"/>
      <c r="E670" s="208"/>
      <c r="F670" s="208"/>
      <c r="G670" s="208"/>
      <c r="H670" s="208"/>
      <c r="I670" s="208"/>
      <c r="J670" s="232"/>
      <c r="K670" s="162"/>
    </row>
    <row r="671" spans="1:11" ht="15.75" hidden="1" x14ac:dyDescent="0.25">
      <c r="A671" s="169"/>
      <c r="B671" s="212"/>
      <c r="C671" s="208"/>
      <c r="D671" s="208"/>
      <c r="E671" s="208"/>
      <c r="F671" s="208"/>
      <c r="G671" s="208"/>
      <c r="H671" s="208"/>
      <c r="I671" s="208"/>
      <c r="J671" s="232"/>
      <c r="K671" s="162"/>
    </row>
    <row r="672" spans="1:11" ht="15.75" hidden="1" x14ac:dyDescent="0.25">
      <c r="A672" s="169"/>
      <c r="B672" s="212"/>
      <c r="C672" s="208"/>
      <c r="D672" s="208"/>
      <c r="E672" s="208"/>
      <c r="F672" s="208"/>
      <c r="G672" s="208"/>
      <c r="H672" s="208"/>
      <c r="I672" s="208"/>
      <c r="J672" s="232"/>
      <c r="K672" s="162"/>
    </row>
    <row r="673" spans="1:11" ht="30.75" customHeight="1" x14ac:dyDescent="0.25">
      <c r="A673" s="169"/>
      <c r="B673" s="157" t="s">
        <v>225</v>
      </c>
      <c r="C673" s="202">
        <f>SUM(C674:C676)</f>
        <v>0</v>
      </c>
      <c r="D673" s="202">
        <f t="shared" ref="D673:I673" si="241">SUM(D674:D676)</f>
        <v>1602540</v>
      </c>
      <c r="E673" s="202">
        <f t="shared" si="241"/>
        <v>156225</v>
      </c>
      <c r="F673" s="202">
        <f t="shared" si="241"/>
        <v>847940</v>
      </c>
      <c r="G673" s="202">
        <f t="shared" si="241"/>
        <v>156225</v>
      </c>
      <c r="H673" s="202">
        <f t="shared" si="241"/>
        <v>0</v>
      </c>
      <c r="I673" s="202">
        <f t="shared" si="241"/>
        <v>0</v>
      </c>
      <c r="J673" s="232"/>
      <c r="K673" s="162"/>
    </row>
    <row r="674" spans="1:11" ht="25.5" x14ac:dyDescent="0.25">
      <c r="A674" s="169"/>
      <c r="B674" s="212"/>
      <c r="C674" s="208"/>
      <c r="D674" s="208">
        <v>507517</v>
      </c>
      <c r="E674" s="208"/>
      <c r="F674" s="208">
        <v>507517</v>
      </c>
      <c r="G674" s="208"/>
      <c r="H674" s="208"/>
      <c r="I674" s="208"/>
      <c r="J674" s="232" t="s">
        <v>593</v>
      </c>
      <c r="K674" s="162"/>
    </row>
    <row r="675" spans="1:11" ht="43.5" customHeight="1" x14ac:dyDescent="0.25">
      <c r="A675" s="169"/>
      <c r="B675" s="212"/>
      <c r="C675" s="208"/>
      <c r="D675" s="208">
        <v>1095023</v>
      </c>
      <c r="E675" s="208"/>
      <c r="F675" s="208">
        <v>340423</v>
      </c>
      <c r="G675" s="208"/>
      <c r="H675" s="263"/>
      <c r="I675" s="263"/>
      <c r="J675" s="158" t="s">
        <v>664</v>
      </c>
      <c r="K675" s="162"/>
    </row>
    <row r="676" spans="1:11" ht="30" customHeight="1" x14ac:dyDescent="0.25">
      <c r="A676" s="169"/>
      <c r="B676" s="212"/>
      <c r="C676" s="208"/>
      <c r="D676" s="208"/>
      <c r="E676" s="208">
        <v>156225</v>
      </c>
      <c r="F676" s="208"/>
      <c r="G676" s="208">
        <v>156225</v>
      </c>
      <c r="H676" s="263"/>
      <c r="I676" s="263"/>
      <c r="J676" s="158" t="s">
        <v>590</v>
      </c>
      <c r="K676" s="162"/>
    </row>
    <row r="677" spans="1:11" ht="15.75" x14ac:dyDescent="0.25">
      <c r="A677" s="169"/>
      <c r="B677" s="157" t="s">
        <v>221</v>
      </c>
      <c r="C677" s="202">
        <f>SUM(C678:C680)</f>
        <v>0</v>
      </c>
      <c r="D677" s="202">
        <f t="shared" ref="D677:I677" si="242">SUM(D678:D680)</f>
        <v>198588</v>
      </c>
      <c r="E677" s="202">
        <f t="shared" si="242"/>
        <v>0</v>
      </c>
      <c r="F677" s="202">
        <f t="shared" si="242"/>
        <v>198588</v>
      </c>
      <c r="G677" s="202">
        <f t="shared" si="242"/>
        <v>0</v>
      </c>
      <c r="H677" s="202">
        <f t="shared" si="242"/>
        <v>3200</v>
      </c>
      <c r="I677" s="202">
        <f t="shared" si="242"/>
        <v>3200</v>
      </c>
      <c r="J677" s="232"/>
      <c r="K677" s="162"/>
    </row>
    <row r="678" spans="1:11" ht="30" customHeight="1" x14ac:dyDescent="0.25">
      <c r="A678" s="169"/>
      <c r="B678" s="212"/>
      <c r="C678" s="208"/>
      <c r="D678" s="208">
        <v>198588</v>
      </c>
      <c r="E678" s="208"/>
      <c r="F678" s="208">
        <v>198588</v>
      </c>
      <c r="G678" s="208"/>
      <c r="H678" s="208"/>
      <c r="I678" s="208"/>
      <c r="J678" s="158" t="s">
        <v>571</v>
      </c>
      <c r="K678" s="162"/>
    </row>
    <row r="679" spans="1:11" ht="15.75" hidden="1" x14ac:dyDescent="0.25">
      <c r="A679" s="169"/>
      <c r="B679" s="212"/>
      <c r="C679" s="208"/>
      <c r="D679" s="208"/>
      <c r="E679" s="208"/>
      <c r="F679" s="208"/>
      <c r="G679" s="208"/>
      <c r="H679" s="208">
        <v>3200</v>
      </c>
      <c r="I679" s="208">
        <v>3200</v>
      </c>
      <c r="J679" s="158"/>
      <c r="K679" s="162"/>
    </row>
    <row r="680" spans="1:11" ht="15.75" hidden="1" x14ac:dyDescent="0.25">
      <c r="A680" s="169"/>
      <c r="B680" s="212"/>
      <c r="C680" s="208"/>
      <c r="D680" s="208"/>
      <c r="E680" s="208"/>
      <c r="F680" s="208"/>
      <c r="G680" s="208"/>
      <c r="H680" s="208"/>
      <c r="I680" s="208"/>
      <c r="J680" s="158"/>
      <c r="K680" s="162"/>
    </row>
    <row r="681" spans="1:11" ht="25.5" x14ac:dyDescent="0.25">
      <c r="A681" s="169"/>
      <c r="B681" s="157" t="s">
        <v>392</v>
      </c>
      <c r="C681" s="202">
        <f>C683+C682</f>
        <v>0</v>
      </c>
      <c r="D681" s="202">
        <f t="shared" ref="D681:I681" si="243">D683+D682</f>
        <v>850208</v>
      </c>
      <c r="E681" s="202">
        <f t="shared" si="243"/>
        <v>0</v>
      </c>
      <c r="F681" s="202">
        <f t="shared" si="243"/>
        <v>849940</v>
      </c>
      <c r="G681" s="202">
        <f t="shared" si="243"/>
        <v>0</v>
      </c>
      <c r="H681" s="202">
        <f t="shared" si="243"/>
        <v>0</v>
      </c>
      <c r="I681" s="202">
        <f t="shared" si="243"/>
        <v>0</v>
      </c>
      <c r="J681" s="232"/>
      <c r="K681" s="162"/>
    </row>
    <row r="682" spans="1:11" ht="30" customHeight="1" x14ac:dyDescent="0.25">
      <c r="A682" s="169"/>
      <c r="B682" s="157"/>
      <c r="C682" s="208"/>
      <c r="D682" s="208">
        <v>316208</v>
      </c>
      <c r="E682" s="208"/>
      <c r="F682" s="208">
        <v>154940</v>
      </c>
      <c r="G682" s="208"/>
      <c r="H682" s="208"/>
      <c r="I682" s="208"/>
      <c r="J682" s="158" t="s">
        <v>571</v>
      </c>
      <c r="K682" s="162"/>
    </row>
    <row r="683" spans="1:11" ht="38.25" x14ac:dyDescent="0.25">
      <c r="A683" s="169"/>
      <c r="B683" s="212"/>
      <c r="C683" s="208"/>
      <c r="D683" s="208">
        <v>534000</v>
      </c>
      <c r="E683" s="208"/>
      <c r="F683" s="208">
        <v>695000</v>
      </c>
      <c r="G683" s="208"/>
      <c r="H683" s="208"/>
      <c r="I683" s="208"/>
      <c r="J683" s="158" t="s">
        <v>797</v>
      </c>
      <c r="K683" s="162"/>
    </row>
    <row r="684" spans="1:11" ht="38.25" x14ac:dyDescent="0.25">
      <c r="A684" s="169"/>
      <c r="B684" s="262" t="s">
        <v>143</v>
      </c>
      <c r="C684" s="175">
        <f>C685+C686</f>
        <v>0</v>
      </c>
      <c r="D684" s="175">
        <f t="shared" ref="D684:I684" si="244">D685+D686</f>
        <v>148913</v>
      </c>
      <c r="E684" s="175">
        <f t="shared" si="244"/>
        <v>0</v>
      </c>
      <c r="F684" s="175">
        <f t="shared" si="244"/>
        <v>148913</v>
      </c>
      <c r="G684" s="175">
        <f t="shared" si="244"/>
        <v>0</v>
      </c>
      <c r="H684" s="175">
        <f t="shared" si="244"/>
        <v>20000</v>
      </c>
      <c r="I684" s="175">
        <f t="shared" si="244"/>
        <v>20000</v>
      </c>
      <c r="J684" s="123"/>
      <c r="K684" s="162"/>
    </row>
    <row r="685" spans="1:11" ht="32.25" customHeight="1" x14ac:dyDescent="0.25">
      <c r="A685" s="169"/>
      <c r="B685" s="262"/>
      <c r="C685" s="176"/>
      <c r="D685" s="176">
        <v>148913</v>
      </c>
      <c r="E685" s="176"/>
      <c r="F685" s="176">
        <v>148913</v>
      </c>
      <c r="G685" s="176"/>
      <c r="H685" s="176"/>
      <c r="I685" s="176"/>
      <c r="J685" s="158" t="s">
        <v>571</v>
      </c>
      <c r="K685" s="162"/>
    </row>
    <row r="686" spans="1:11" ht="15.75" hidden="1" x14ac:dyDescent="0.25">
      <c r="A686" s="169"/>
      <c r="B686" s="262"/>
      <c r="C686" s="176"/>
      <c r="D686" s="176"/>
      <c r="E686" s="176"/>
      <c r="F686" s="176"/>
      <c r="G686" s="176"/>
      <c r="H686" s="176">
        <v>20000</v>
      </c>
      <c r="I686" s="176">
        <v>20000</v>
      </c>
      <c r="J686" s="158"/>
      <c r="K686" s="162"/>
    </row>
    <row r="687" spans="1:11" ht="38.25" x14ac:dyDescent="0.25">
      <c r="A687" s="169"/>
      <c r="B687" s="174" t="s">
        <v>127</v>
      </c>
      <c r="C687" s="235">
        <f>SUM(C688:C692)</f>
        <v>0</v>
      </c>
      <c r="D687" s="235">
        <f t="shared" ref="D687:I687" si="245">SUM(D688:D692)</f>
        <v>1052362</v>
      </c>
      <c r="E687" s="235">
        <f t="shared" si="245"/>
        <v>0</v>
      </c>
      <c r="F687" s="235">
        <f t="shared" si="245"/>
        <v>972362</v>
      </c>
      <c r="G687" s="235">
        <f t="shared" si="245"/>
        <v>0</v>
      </c>
      <c r="H687" s="235">
        <f t="shared" si="245"/>
        <v>203000</v>
      </c>
      <c r="I687" s="235">
        <f t="shared" si="245"/>
        <v>3000</v>
      </c>
      <c r="J687" s="123"/>
      <c r="K687" s="162"/>
    </row>
    <row r="688" spans="1:11" ht="31.5" customHeight="1" x14ac:dyDescent="0.25">
      <c r="A688" s="169"/>
      <c r="B688" s="174"/>
      <c r="C688" s="159"/>
      <c r="D688" s="159">
        <v>329490</v>
      </c>
      <c r="E688" s="159"/>
      <c r="F688" s="159">
        <f>109490+220000</f>
        <v>329490</v>
      </c>
      <c r="G688" s="159"/>
      <c r="H688" s="159"/>
      <c r="I688" s="159"/>
      <c r="J688" s="158" t="s">
        <v>571</v>
      </c>
      <c r="K688" s="162"/>
    </row>
    <row r="689" spans="1:11" ht="15.75" x14ac:dyDescent="0.25">
      <c r="A689" s="169"/>
      <c r="B689" s="174"/>
      <c r="C689" s="159"/>
      <c r="D689" s="159">
        <v>257872</v>
      </c>
      <c r="E689" s="159"/>
      <c r="F689" s="159">
        <v>257872</v>
      </c>
      <c r="G689" s="159"/>
      <c r="H689" s="159"/>
      <c r="I689" s="159"/>
      <c r="J689" s="123" t="s">
        <v>798</v>
      </c>
      <c r="K689" s="162"/>
    </row>
    <row r="690" spans="1:11" ht="17.25" customHeight="1" x14ac:dyDescent="0.25">
      <c r="A690" s="169"/>
      <c r="B690" s="174"/>
      <c r="C690" s="159"/>
      <c r="D690" s="159">
        <v>465000</v>
      </c>
      <c r="E690" s="159"/>
      <c r="F690" s="159">
        <f>165000+220000</f>
        <v>385000</v>
      </c>
      <c r="G690" s="159"/>
      <c r="H690" s="159"/>
      <c r="I690" s="159"/>
      <c r="J690" s="158" t="s">
        <v>395</v>
      </c>
      <c r="K690" s="162"/>
    </row>
    <row r="691" spans="1:11" ht="15.75" hidden="1" x14ac:dyDescent="0.25">
      <c r="A691" s="169"/>
      <c r="B691" s="174"/>
      <c r="C691" s="159"/>
      <c r="D691" s="159"/>
      <c r="E691" s="159"/>
      <c r="F691" s="159"/>
      <c r="G691" s="159"/>
      <c r="H691" s="159">
        <v>200000</v>
      </c>
      <c r="I691" s="159"/>
      <c r="J691" s="158"/>
      <c r="K691" s="162"/>
    </row>
    <row r="692" spans="1:11" ht="15.75" hidden="1" x14ac:dyDescent="0.25">
      <c r="A692" s="169"/>
      <c r="B692" s="174"/>
      <c r="C692" s="159"/>
      <c r="D692" s="159"/>
      <c r="E692" s="159"/>
      <c r="F692" s="159"/>
      <c r="G692" s="159"/>
      <c r="H692" s="159">
        <v>3000</v>
      </c>
      <c r="I692" s="159">
        <v>3000</v>
      </c>
      <c r="J692" s="158"/>
      <c r="K692" s="162"/>
    </row>
    <row r="693" spans="1:11" ht="15.75" hidden="1" x14ac:dyDescent="0.25">
      <c r="A693" s="169"/>
      <c r="B693" s="174"/>
      <c r="C693" s="235"/>
      <c r="D693" s="235"/>
      <c r="E693" s="235"/>
      <c r="F693" s="235"/>
      <c r="G693" s="235"/>
      <c r="H693" s="235"/>
      <c r="I693" s="235"/>
      <c r="J693" s="158"/>
      <c r="K693" s="162"/>
    </row>
    <row r="694" spans="1:11" ht="30.75" customHeight="1" x14ac:dyDescent="0.25">
      <c r="A694" s="169"/>
      <c r="B694" s="264" t="s">
        <v>149</v>
      </c>
      <c r="C694" s="235">
        <f>C695+C696</f>
        <v>0</v>
      </c>
      <c r="D694" s="235">
        <f t="shared" ref="D694:I694" si="246">D695+D696</f>
        <v>109901</v>
      </c>
      <c r="E694" s="235">
        <f t="shared" si="246"/>
        <v>0</v>
      </c>
      <c r="F694" s="235">
        <f t="shared" ref="F694:G694" si="247">F695+F696</f>
        <v>109901</v>
      </c>
      <c r="G694" s="235">
        <f t="shared" si="247"/>
        <v>0</v>
      </c>
      <c r="H694" s="235">
        <f t="shared" si="246"/>
        <v>3318</v>
      </c>
      <c r="I694" s="235">
        <f t="shared" si="246"/>
        <v>3318</v>
      </c>
      <c r="J694" s="261"/>
    </row>
    <row r="695" spans="1:11" ht="27" customHeight="1" x14ac:dyDescent="0.25">
      <c r="A695" s="169"/>
      <c r="B695" s="174"/>
      <c r="C695" s="159"/>
      <c r="D695" s="159">
        <v>109901</v>
      </c>
      <c r="E695" s="159"/>
      <c r="F695" s="159">
        <v>109901</v>
      </c>
      <c r="G695" s="159"/>
      <c r="H695" s="159"/>
      <c r="I695" s="159"/>
      <c r="J695" s="158" t="s">
        <v>571</v>
      </c>
    </row>
    <row r="696" spans="1:11" ht="15.75" hidden="1" x14ac:dyDescent="0.25">
      <c r="A696" s="169"/>
      <c r="B696" s="174"/>
      <c r="C696" s="159"/>
      <c r="D696" s="159"/>
      <c r="E696" s="159"/>
      <c r="F696" s="159"/>
      <c r="G696" s="159"/>
      <c r="H696" s="159">
        <v>3318</v>
      </c>
      <c r="I696" s="159">
        <v>3318</v>
      </c>
      <c r="J696" s="158"/>
    </row>
    <row r="697" spans="1:11" ht="32.25" customHeight="1" x14ac:dyDescent="0.25">
      <c r="A697" s="169"/>
      <c r="B697" s="264" t="s">
        <v>166</v>
      </c>
      <c r="C697" s="235">
        <f>C698+C699</f>
        <v>0</v>
      </c>
      <c r="D697" s="235">
        <f t="shared" ref="D697:I697" si="248">D698+D699</f>
        <v>386474</v>
      </c>
      <c r="E697" s="235">
        <f t="shared" si="248"/>
        <v>0</v>
      </c>
      <c r="F697" s="235">
        <f t="shared" si="248"/>
        <v>386474</v>
      </c>
      <c r="G697" s="235">
        <f t="shared" si="248"/>
        <v>0</v>
      </c>
      <c r="H697" s="235">
        <f t="shared" si="248"/>
        <v>0</v>
      </c>
      <c r="I697" s="235">
        <f t="shared" si="248"/>
        <v>0</v>
      </c>
      <c r="J697" s="261"/>
    </row>
    <row r="698" spans="1:11" ht="27.75" customHeight="1" x14ac:dyDescent="0.25">
      <c r="A698" s="169"/>
      <c r="B698" s="264"/>
      <c r="C698" s="159"/>
      <c r="D698" s="159">
        <v>286474</v>
      </c>
      <c r="E698" s="159"/>
      <c r="F698" s="159">
        <v>286474</v>
      </c>
      <c r="G698" s="159"/>
      <c r="H698" s="159"/>
      <c r="I698" s="159"/>
      <c r="J698" s="158" t="s">
        <v>571</v>
      </c>
    </row>
    <row r="699" spans="1:11" ht="20.25" customHeight="1" x14ac:dyDescent="0.25">
      <c r="A699" s="169"/>
      <c r="B699" s="264"/>
      <c r="C699" s="159"/>
      <c r="D699" s="159">
        <v>100000</v>
      </c>
      <c r="E699" s="159"/>
      <c r="F699" s="159">
        <v>100000</v>
      </c>
      <c r="G699" s="159"/>
      <c r="H699" s="159"/>
      <c r="I699" s="159"/>
      <c r="J699" s="158" t="s">
        <v>341</v>
      </c>
    </row>
    <row r="700" spans="1:11" ht="30" customHeight="1" x14ac:dyDescent="0.25">
      <c r="A700" s="169"/>
      <c r="B700" s="264" t="s">
        <v>397</v>
      </c>
      <c r="C700" s="235">
        <f>C701+C702+C703</f>
        <v>0</v>
      </c>
      <c r="D700" s="235">
        <f t="shared" ref="D700:I700" si="249">D701+D702+D703</f>
        <v>245108</v>
      </c>
      <c r="E700" s="235">
        <f t="shared" si="249"/>
        <v>0</v>
      </c>
      <c r="F700" s="235">
        <f t="shared" si="249"/>
        <v>245108</v>
      </c>
      <c r="G700" s="235">
        <f t="shared" si="249"/>
        <v>0</v>
      </c>
      <c r="H700" s="235">
        <f t="shared" si="249"/>
        <v>386500</v>
      </c>
      <c r="I700" s="235">
        <f t="shared" si="249"/>
        <v>386500</v>
      </c>
      <c r="J700" s="261"/>
    </row>
    <row r="701" spans="1:11" ht="33.75" customHeight="1" x14ac:dyDescent="0.25">
      <c r="A701" s="169"/>
      <c r="B701" s="264"/>
      <c r="C701" s="159"/>
      <c r="D701" s="159">
        <v>245108</v>
      </c>
      <c r="E701" s="159"/>
      <c r="F701" s="159">
        <v>245108</v>
      </c>
      <c r="G701" s="159"/>
      <c r="H701" s="159"/>
      <c r="I701" s="159"/>
      <c r="J701" s="158" t="s">
        <v>571</v>
      </c>
    </row>
    <row r="702" spans="1:11" ht="15.75" hidden="1" x14ac:dyDescent="0.25">
      <c r="A702" s="169"/>
      <c r="B702" s="264"/>
      <c r="C702" s="159"/>
      <c r="D702" s="159"/>
      <c r="E702" s="159"/>
      <c r="F702" s="159"/>
      <c r="G702" s="159"/>
      <c r="H702" s="159">
        <v>80000</v>
      </c>
      <c r="I702" s="159">
        <v>80000</v>
      </c>
      <c r="J702" s="261"/>
    </row>
    <row r="703" spans="1:11" ht="38.25" hidden="1" x14ac:dyDescent="0.25">
      <c r="A703" s="169"/>
      <c r="B703" s="264"/>
      <c r="C703" s="159"/>
      <c r="D703" s="159"/>
      <c r="E703" s="159"/>
      <c r="F703" s="159"/>
      <c r="G703" s="159"/>
      <c r="H703" s="159">
        <v>306500</v>
      </c>
      <c r="I703" s="159">
        <v>306500</v>
      </c>
      <c r="J703" s="261" t="s">
        <v>399</v>
      </c>
    </row>
    <row r="704" spans="1:11" ht="29.25" customHeight="1" x14ac:dyDescent="0.25">
      <c r="A704" s="169"/>
      <c r="B704" s="264" t="s">
        <v>400</v>
      </c>
      <c r="C704" s="235">
        <f>SUM(C705:C709)</f>
        <v>0</v>
      </c>
      <c r="D704" s="235">
        <f t="shared" ref="D704:I704" si="250">SUM(D705:D709)</f>
        <v>12041206</v>
      </c>
      <c r="E704" s="235">
        <f t="shared" si="250"/>
        <v>0</v>
      </c>
      <c r="F704" s="235">
        <f t="shared" si="250"/>
        <v>10549392</v>
      </c>
      <c r="G704" s="235">
        <f t="shared" si="250"/>
        <v>0</v>
      </c>
      <c r="H704" s="235">
        <f t="shared" si="250"/>
        <v>0</v>
      </c>
      <c r="I704" s="235">
        <f t="shared" si="250"/>
        <v>0</v>
      </c>
      <c r="J704" s="261"/>
    </row>
    <row r="705" spans="1:12" ht="15.75" hidden="1" x14ac:dyDescent="0.25">
      <c r="A705" s="169"/>
      <c r="B705" s="264"/>
      <c r="C705" s="159"/>
      <c r="D705" s="159"/>
      <c r="E705" s="159"/>
      <c r="F705" s="159"/>
      <c r="G705" s="159"/>
      <c r="H705" s="159"/>
      <c r="I705" s="159"/>
      <c r="J705" s="158"/>
    </row>
    <row r="706" spans="1:12" ht="41.25" customHeight="1" x14ac:dyDescent="0.25">
      <c r="A706" s="169"/>
      <c r="B706" s="264"/>
      <c r="C706" s="159"/>
      <c r="D706" s="159">
        <v>3095842</v>
      </c>
      <c r="E706" s="159"/>
      <c r="F706" s="159">
        <v>3458000</v>
      </c>
      <c r="G706" s="159"/>
      <c r="H706" s="159"/>
      <c r="I706" s="159"/>
      <c r="J706" s="158" t="s">
        <v>799</v>
      </c>
    </row>
    <row r="707" spans="1:12" ht="25.5" x14ac:dyDescent="0.25">
      <c r="A707" s="169"/>
      <c r="B707" s="264"/>
      <c r="C707" s="159"/>
      <c r="D707" s="159">
        <v>2157844</v>
      </c>
      <c r="E707" s="159"/>
      <c r="F707" s="159">
        <v>1222872</v>
      </c>
      <c r="G707" s="159"/>
      <c r="H707" s="159"/>
      <c r="I707" s="159"/>
      <c r="J707" s="158" t="s">
        <v>596</v>
      </c>
    </row>
    <row r="708" spans="1:12" ht="20.25" customHeight="1" x14ac:dyDescent="0.25">
      <c r="A708" s="169"/>
      <c r="B708" s="264"/>
      <c r="C708" s="159"/>
      <c r="D708" s="159"/>
      <c r="E708" s="159"/>
      <c r="F708" s="159">
        <v>616000</v>
      </c>
      <c r="G708" s="159"/>
      <c r="H708" s="159"/>
      <c r="I708" s="159"/>
      <c r="J708" s="158" t="s">
        <v>719</v>
      </c>
    </row>
    <row r="709" spans="1:12" ht="28.5" customHeight="1" x14ac:dyDescent="0.25">
      <c r="A709" s="169"/>
      <c r="B709" s="264"/>
      <c r="C709" s="159"/>
      <c r="D709" s="159">
        <v>6787520</v>
      </c>
      <c r="E709" s="159"/>
      <c r="F709" s="159">
        <v>5252520</v>
      </c>
      <c r="G709" s="159"/>
      <c r="H709" s="159"/>
      <c r="I709" s="159"/>
      <c r="J709" s="158" t="s">
        <v>665</v>
      </c>
    </row>
    <row r="710" spans="1:12" ht="28.5" customHeight="1" x14ac:dyDescent="0.25">
      <c r="A710" s="169"/>
      <c r="B710" s="264" t="s">
        <v>243</v>
      </c>
      <c r="C710" s="235">
        <f>SUM(C711:C714)</f>
        <v>0</v>
      </c>
      <c r="D710" s="235">
        <f t="shared" ref="D710:I710" si="251">SUM(D711:D714)</f>
        <v>3548787</v>
      </c>
      <c r="E710" s="235">
        <f t="shared" si="251"/>
        <v>0</v>
      </c>
      <c r="F710" s="235">
        <f t="shared" si="251"/>
        <v>3548000</v>
      </c>
      <c r="G710" s="235">
        <f t="shared" si="251"/>
        <v>0</v>
      </c>
      <c r="H710" s="235">
        <f t="shared" si="251"/>
        <v>0</v>
      </c>
      <c r="I710" s="235">
        <f t="shared" si="251"/>
        <v>0</v>
      </c>
      <c r="J710" s="261"/>
    </row>
    <row r="711" spans="1:12" ht="29.25" customHeight="1" x14ac:dyDescent="0.25">
      <c r="A711" s="169"/>
      <c r="B711" s="264"/>
      <c r="C711" s="235"/>
      <c r="D711" s="159"/>
      <c r="E711" s="159"/>
      <c r="F711" s="159">
        <v>3478000</v>
      </c>
      <c r="G711" s="235"/>
      <c r="H711" s="235"/>
      <c r="I711" s="235"/>
      <c r="J711" s="261" t="s">
        <v>604</v>
      </c>
    </row>
    <row r="712" spans="1:12" ht="15.75" hidden="1" x14ac:dyDescent="0.25">
      <c r="A712" s="169"/>
      <c r="B712" s="264"/>
      <c r="C712" s="235"/>
      <c r="D712" s="159">
        <v>2671000</v>
      </c>
      <c r="E712" s="159"/>
      <c r="F712" s="159"/>
      <c r="G712" s="235"/>
      <c r="H712" s="235"/>
      <c r="I712" s="235"/>
      <c r="J712" s="261"/>
    </row>
    <row r="713" spans="1:12" ht="15.75" hidden="1" x14ac:dyDescent="0.25">
      <c r="A713" s="169"/>
      <c r="B713" s="264"/>
      <c r="C713" s="235"/>
      <c r="D713" s="159">
        <v>807787</v>
      </c>
      <c r="E713" s="159"/>
      <c r="F713" s="159"/>
      <c r="G713" s="235"/>
      <c r="H713" s="235"/>
      <c r="I713" s="235"/>
      <c r="J713" s="261"/>
    </row>
    <row r="714" spans="1:12" ht="15.75" x14ac:dyDescent="0.25">
      <c r="A714" s="169"/>
      <c r="B714" s="264"/>
      <c r="C714" s="235"/>
      <c r="D714" s="159">
        <v>70000</v>
      </c>
      <c r="E714" s="159"/>
      <c r="F714" s="159">
        <v>70000</v>
      </c>
      <c r="G714" s="235"/>
      <c r="H714" s="235"/>
      <c r="I714" s="235"/>
      <c r="J714" s="261" t="s">
        <v>720</v>
      </c>
      <c r="K714" s="265"/>
      <c r="L714" s="265"/>
    </row>
    <row r="715" spans="1:12" ht="15.75" x14ac:dyDescent="0.25">
      <c r="A715" s="169"/>
      <c r="B715" s="266" t="s">
        <v>47</v>
      </c>
      <c r="C715" s="171">
        <f t="shared" ref="C715:I715" si="252">C528+C503+C518+C461+C410+C375+C357+C347+C342+C318+C296+C279+C269+C230+C217+C184+C177+C155+C151+C101+C43+C9+C485+C451+C172+C457</f>
        <v>176281300</v>
      </c>
      <c r="D715" s="171">
        <f t="shared" si="252"/>
        <v>4214585198</v>
      </c>
      <c r="E715" s="171">
        <f t="shared" si="252"/>
        <v>44857780</v>
      </c>
      <c r="F715" s="171">
        <f t="shared" si="252"/>
        <v>1985175354</v>
      </c>
      <c r="G715" s="171">
        <f t="shared" si="252"/>
        <v>161346127</v>
      </c>
      <c r="H715" s="171">
        <f t="shared" si="252"/>
        <v>243925411</v>
      </c>
      <c r="I715" s="171">
        <f t="shared" si="252"/>
        <v>241291310</v>
      </c>
      <c r="J715" s="123"/>
      <c r="K715" s="265"/>
      <c r="L715" s="265"/>
    </row>
    <row r="717" spans="1:12" x14ac:dyDescent="0.2">
      <c r="G717" s="269"/>
    </row>
  </sheetData>
  <mergeCells count="13">
    <mergeCell ref="B139:B140"/>
    <mergeCell ref="F6:F8"/>
    <mergeCell ref="G6:G8"/>
    <mergeCell ref="A4:J4"/>
    <mergeCell ref="A6:A8"/>
    <mergeCell ref="B6:B8"/>
    <mergeCell ref="C6:C8"/>
    <mergeCell ref="H6:I6"/>
    <mergeCell ref="J6:J8"/>
    <mergeCell ref="H7:I7"/>
    <mergeCell ref="D7:D8"/>
    <mergeCell ref="E7:E8"/>
    <mergeCell ref="D6:E6"/>
  </mergeCells>
  <phoneticPr fontId="0" type="noConversion"/>
  <printOptions horizontalCentered="1"/>
  <pageMargins left="0.27559055118110237" right="0.23622047244094491" top="0.47244094488188981" bottom="0.31496062992125984" header="0.15748031496062992" footer="0.27559055118110237"/>
  <pageSetup paperSize="9" scale="95" fitToHeight="0" orientation="landscape" r:id="rId1"/>
  <headerFooter differentFirst="1" alignWithMargins="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M483"/>
  <sheetViews>
    <sheetView topLeftCell="A433" workbookViewId="0">
      <selection activeCell="E439" sqref="E439"/>
    </sheetView>
  </sheetViews>
  <sheetFormatPr defaultRowHeight="12.75" x14ac:dyDescent="0.2"/>
  <cols>
    <col min="1" max="1" width="5.140625" customWidth="1"/>
    <col min="2" max="2" width="19.42578125" customWidth="1"/>
    <col min="3" max="3" width="12.7109375" customWidth="1"/>
    <col min="4" max="4" width="14.28515625" customWidth="1"/>
    <col min="5" max="5" width="16.42578125" customWidth="1"/>
    <col min="6" max="6" width="16" customWidth="1"/>
    <col min="7" max="8" width="18.140625" hidden="1" customWidth="1"/>
    <col min="9" max="9" width="41.28515625" customWidth="1"/>
    <col min="10" max="10" width="38.7109375" customWidth="1"/>
    <col min="11" max="11" width="27.140625" customWidth="1"/>
    <col min="12" max="13" width="11.140625" bestFit="1" customWidth="1"/>
  </cols>
  <sheetData>
    <row r="1" spans="1:13" x14ac:dyDescent="0.2">
      <c r="J1" s="24" t="s">
        <v>673</v>
      </c>
      <c r="K1" s="21">
        <f>E47+156669300+81455300+76499800+90390200+E53+E59+E95+E99+E147+E148+E151</f>
        <v>673670621</v>
      </c>
    </row>
    <row r="2" spans="1:13" x14ac:dyDescent="0.2">
      <c r="J2" s="24" t="s">
        <v>672</v>
      </c>
      <c r="K2" s="23">
        <f>E324+E352+E380+E454+E474+E476+E479+E123+E223+E224</f>
        <v>53237015</v>
      </c>
      <c r="L2" s="6">
        <f>K2+K3</f>
        <v>146790303</v>
      </c>
      <c r="M2" s="155">
        <f>K1+L2-278463378-198763512+302578498+174648392-37215915+40936480-43145574+39425009</f>
        <v>820460924</v>
      </c>
    </row>
    <row r="3" spans="1:13" x14ac:dyDescent="0.2">
      <c r="J3" s="24" t="s">
        <v>671</v>
      </c>
      <c r="K3" s="23">
        <f>E46+40338700+31873500+E68+E96+E97+E150+E174+E476+E130+E139+E142</f>
        <v>93553288</v>
      </c>
    </row>
    <row r="4" spans="1:13" ht="51" x14ac:dyDescent="0.2">
      <c r="A4" s="294" t="s">
        <v>0</v>
      </c>
      <c r="B4" s="295" t="s">
        <v>154</v>
      </c>
      <c r="C4" s="295" t="s">
        <v>170</v>
      </c>
      <c r="D4" s="295" t="s">
        <v>4</v>
      </c>
      <c r="E4" s="296" t="s">
        <v>230</v>
      </c>
      <c r="F4" s="296"/>
      <c r="G4" s="296" t="s">
        <v>230</v>
      </c>
      <c r="H4" s="296"/>
      <c r="I4" s="299" t="s">
        <v>231</v>
      </c>
      <c r="J4" s="13" t="s">
        <v>571</v>
      </c>
      <c r="K4" s="23">
        <f>2234600+E335+E339+E341+E348+E351+E355+E359+E362+E366+E373+E376+E380+E381+E383+E384+E398+E401+E405+E411+E414+E416+E420+E423+E427+E432+E436+E443+E446+E450+E453+E456+E459+E465+E468+E471+E475</f>
        <v>28274061</v>
      </c>
    </row>
    <row r="5" spans="1:13" ht="15" x14ac:dyDescent="0.2">
      <c r="A5" s="294"/>
      <c r="B5" s="295"/>
      <c r="C5" s="295"/>
      <c r="D5" s="295"/>
      <c r="E5" s="297" t="s">
        <v>152</v>
      </c>
      <c r="F5" s="297" t="s">
        <v>212</v>
      </c>
      <c r="G5" s="300" t="s">
        <v>213</v>
      </c>
      <c r="H5" s="300"/>
      <c r="I5" s="299"/>
      <c r="J5" s="24"/>
      <c r="K5" s="23"/>
    </row>
    <row r="6" spans="1:13" ht="15.75" x14ac:dyDescent="0.2">
      <c r="A6" s="294"/>
      <c r="B6" s="295"/>
      <c r="C6" s="295"/>
      <c r="D6" s="295"/>
      <c r="E6" s="298"/>
      <c r="F6" s="298"/>
      <c r="G6" s="28" t="s">
        <v>219</v>
      </c>
      <c r="H6" s="28" t="s">
        <v>220</v>
      </c>
      <c r="I6" s="299"/>
      <c r="J6" s="24"/>
      <c r="K6" s="23"/>
    </row>
    <row r="7" spans="1:13" ht="102.75" x14ac:dyDescent="0.25">
      <c r="A7" s="29" t="s">
        <v>171</v>
      </c>
      <c r="B7" s="1" t="s">
        <v>1</v>
      </c>
      <c r="C7" s="126">
        <v>14274200</v>
      </c>
      <c r="D7" s="126">
        <v>0</v>
      </c>
      <c r="E7" s="126">
        <v>22092362</v>
      </c>
      <c r="F7" s="126">
        <v>0</v>
      </c>
      <c r="G7" s="126">
        <v>105327092</v>
      </c>
      <c r="H7" s="126">
        <v>106034092</v>
      </c>
      <c r="I7" s="14"/>
      <c r="J7" s="8" t="s">
        <v>674</v>
      </c>
      <c r="K7" s="23">
        <f>E76</f>
        <v>58926000</v>
      </c>
    </row>
    <row r="8" spans="1:13" ht="76.5" x14ac:dyDescent="0.25">
      <c r="A8" s="31" t="s">
        <v>173</v>
      </c>
      <c r="B8" s="38" t="s">
        <v>48</v>
      </c>
      <c r="C8" s="39">
        <v>14274200</v>
      </c>
      <c r="D8" s="39">
        <v>0</v>
      </c>
      <c r="E8" s="39">
        <v>22092362</v>
      </c>
      <c r="F8" s="39">
        <v>0</v>
      </c>
      <c r="G8" s="39">
        <v>105327092</v>
      </c>
      <c r="H8" s="39">
        <v>106034092</v>
      </c>
      <c r="I8" s="9"/>
      <c r="J8" s="7" t="s">
        <v>669</v>
      </c>
      <c r="K8" s="23">
        <f>E305-F305</f>
        <v>35788486</v>
      </c>
    </row>
    <row r="9" spans="1:13" ht="38.25" x14ac:dyDescent="0.25">
      <c r="A9" s="31"/>
      <c r="B9" s="113" t="s">
        <v>46</v>
      </c>
      <c r="C9" s="41">
        <v>14274200</v>
      </c>
      <c r="D9" s="41">
        <v>0</v>
      </c>
      <c r="E9" s="41">
        <v>22092362</v>
      </c>
      <c r="F9" s="41">
        <v>0</v>
      </c>
      <c r="G9" s="41">
        <v>105327092</v>
      </c>
      <c r="H9" s="41">
        <v>106034092</v>
      </c>
      <c r="I9" s="9"/>
      <c r="J9" s="7" t="str">
        <f>B304</f>
        <v>Выравнивание уровня бюджетной обеспеченности муниципальных образований Ярославской области и обеспечение сбалансированности местных бюджетов</v>
      </c>
      <c r="K9" s="23">
        <f>E304</f>
        <v>20000000</v>
      </c>
    </row>
    <row r="10" spans="1:13" ht="140.25" hidden="1" x14ac:dyDescent="0.25">
      <c r="A10" s="31"/>
      <c r="B10" s="37"/>
      <c r="C10" s="45">
        <v>14274200</v>
      </c>
      <c r="D10" s="45"/>
      <c r="E10" s="45"/>
      <c r="F10" s="45"/>
      <c r="G10" s="45"/>
      <c r="H10" s="45"/>
      <c r="I10" s="40" t="s">
        <v>524</v>
      </c>
      <c r="K10" s="5"/>
    </row>
    <row r="11" spans="1:13" ht="38.25" hidden="1" x14ac:dyDescent="0.25">
      <c r="A11" s="31"/>
      <c r="B11" s="37"/>
      <c r="C11" s="45"/>
      <c r="D11" s="45"/>
      <c r="E11" s="45"/>
      <c r="F11" s="45"/>
      <c r="G11" s="45"/>
      <c r="H11" s="45">
        <v>707000</v>
      </c>
      <c r="I11" s="40" t="s">
        <v>403</v>
      </c>
      <c r="K11" s="5"/>
    </row>
    <row r="12" spans="1:13" ht="38.25" hidden="1" x14ac:dyDescent="0.25">
      <c r="A12" s="31"/>
      <c r="B12" s="37"/>
      <c r="C12" s="45"/>
      <c r="D12" s="45"/>
      <c r="E12" s="45"/>
      <c r="F12" s="45"/>
      <c r="G12" s="45">
        <v>282000</v>
      </c>
      <c r="H12" s="45">
        <v>282000</v>
      </c>
      <c r="I12" s="139" t="s">
        <v>404</v>
      </c>
      <c r="K12" s="5"/>
    </row>
    <row r="13" spans="1:13" ht="51" hidden="1" x14ac:dyDescent="0.25">
      <c r="A13" s="31"/>
      <c r="B13" s="37"/>
      <c r="C13" s="45"/>
      <c r="D13" s="45"/>
      <c r="E13" s="45"/>
      <c r="F13" s="45"/>
      <c r="G13" s="45">
        <v>100000</v>
      </c>
      <c r="H13" s="45">
        <v>100000</v>
      </c>
      <c r="I13" s="139" t="s">
        <v>525</v>
      </c>
      <c r="K13" s="5"/>
    </row>
    <row r="14" spans="1:13" ht="89.25" hidden="1" x14ac:dyDescent="0.25">
      <c r="A14" s="31"/>
      <c r="B14" s="37"/>
      <c r="C14" s="45"/>
      <c r="D14" s="45"/>
      <c r="E14" s="45"/>
      <c r="F14" s="45"/>
      <c r="G14" s="45">
        <v>903600</v>
      </c>
      <c r="H14" s="45">
        <v>903600</v>
      </c>
      <c r="I14" s="139" t="s">
        <v>526</v>
      </c>
      <c r="K14" s="5"/>
    </row>
    <row r="15" spans="1:13" ht="76.5" hidden="1" x14ac:dyDescent="0.25">
      <c r="A15" s="31"/>
      <c r="B15" s="37"/>
      <c r="C15" s="45"/>
      <c r="D15" s="45"/>
      <c r="E15" s="45"/>
      <c r="F15" s="45"/>
      <c r="G15" s="45">
        <v>90000</v>
      </c>
      <c r="H15" s="45">
        <v>90000</v>
      </c>
      <c r="I15" s="139" t="s">
        <v>405</v>
      </c>
      <c r="K15" s="5"/>
    </row>
    <row r="16" spans="1:13" ht="51" hidden="1" x14ac:dyDescent="0.25">
      <c r="A16" s="31"/>
      <c r="B16" s="37"/>
      <c r="C16" s="45"/>
      <c r="D16" s="45"/>
      <c r="E16" s="45"/>
      <c r="F16" s="45"/>
      <c r="G16" s="45">
        <v>65000</v>
      </c>
      <c r="H16" s="45">
        <v>65000</v>
      </c>
      <c r="I16" s="139" t="s">
        <v>527</v>
      </c>
      <c r="K16" s="5"/>
    </row>
    <row r="17" spans="1:11" ht="38.25" hidden="1" x14ac:dyDescent="0.25">
      <c r="A17" s="31"/>
      <c r="B17" s="37"/>
      <c r="C17" s="45"/>
      <c r="D17" s="45"/>
      <c r="E17" s="45"/>
      <c r="F17" s="45"/>
      <c r="G17" s="45">
        <v>255300</v>
      </c>
      <c r="H17" s="45">
        <v>255300</v>
      </c>
      <c r="I17" s="40" t="s">
        <v>406</v>
      </c>
      <c r="K17" s="5"/>
    </row>
    <row r="18" spans="1:11" ht="51" hidden="1" x14ac:dyDescent="0.25">
      <c r="A18" s="31"/>
      <c r="B18" s="37"/>
      <c r="C18" s="45"/>
      <c r="D18" s="45"/>
      <c r="E18" s="45"/>
      <c r="F18" s="45"/>
      <c r="G18" s="45">
        <v>77000</v>
      </c>
      <c r="H18" s="45">
        <v>77000</v>
      </c>
      <c r="I18" s="40" t="s">
        <v>528</v>
      </c>
      <c r="K18" s="5"/>
    </row>
    <row r="19" spans="1:11" ht="51" hidden="1" x14ac:dyDescent="0.25">
      <c r="A19" s="31"/>
      <c r="B19" s="37"/>
      <c r="C19" s="45"/>
      <c r="D19" s="45"/>
      <c r="E19" s="45"/>
      <c r="F19" s="45"/>
      <c r="G19" s="45">
        <v>446000</v>
      </c>
      <c r="H19" s="45">
        <v>7480700</v>
      </c>
      <c r="I19" s="43" t="s">
        <v>529</v>
      </c>
      <c r="K19" s="5"/>
    </row>
    <row r="20" spans="1:11" ht="51" hidden="1" x14ac:dyDescent="0.25">
      <c r="A20" s="31"/>
      <c r="B20" s="37" t="s">
        <v>407</v>
      </c>
      <c r="C20" s="45"/>
      <c r="D20" s="45"/>
      <c r="E20" s="45"/>
      <c r="F20" s="45"/>
      <c r="G20" s="45">
        <v>100000</v>
      </c>
      <c r="H20" s="45">
        <v>100000</v>
      </c>
      <c r="I20" s="43" t="s">
        <v>530</v>
      </c>
      <c r="K20" s="5"/>
    </row>
    <row r="21" spans="1:11" ht="51" hidden="1" x14ac:dyDescent="0.25">
      <c r="A21" s="31"/>
      <c r="B21" s="37"/>
      <c r="C21" s="45"/>
      <c r="D21" s="45"/>
      <c r="E21" s="45"/>
      <c r="F21" s="45"/>
      <c r="G21" s="45">
        <v>507811</v>
      </c>
      <c r="H21" s="45">
        <v>507811</v>
      </c>
      <c r="I21" s="43" t="s">
        <v>531</v>
      </c>
      <c r="K21" s="5"/>
    </row>
    <row r="22" spans="1:11" ht="38.25" hidden="1" x14ac:dyDescent="0.25">
      <c r="A22" s="31"/>
      <c r="B22" s="37"/>
      <c r="C22" s="45"/>
      <c r="D22" s="45"/>
      <c r="E22" s="45"/>
      <c r="F22" s="45"/>
      <c r="G22" s="45">
        <v>114843</v>
      </c>
      <c r="H22" s="45">
        <v>114843</v>
      </c>
      <c r="I22" s="43" t="s">
        <v>532</v>
      </c>
      <c r="K22" s="5"/>
    </row>
    <row r="23" spans="1:11" ht="38.25" hidden="1" x14ac:dyDescent="0.25">
      <c r="A23" s="31"/>
      <c r="B23" s="37"/>
      <c r="C23" s="45"/>
      <c r="D23" s="45"/>
      <c r="E23" s="45"/>
      <c r="F23" s="45"/>
      <c r="G23" s="45">
        <v>332045</v>
      </c>
      <c r="H23" s="45">
        <v>332045</v>
      </c>
      <c r="I23" s="44" t="s">
        <v>533</v>
      </c>
      <c r="K23" s="5"/>
    </row>
    <row r="24" spans="1:11" ht="63.75" hidden="1" x14ac:dyDescent="0.25">
      <c r="A24" s="31"/>
      <c r="B24" s="37"/>
      <c r="C24" s="45"/>
      <c r="D24" s="45"/>
      <c r="E24" s="45"/>
      <c r="F24" s="45"/>
      <c r="G24" s="45">
        <v>1200000</v>
      </c>
      <c r="H24" s="45">
        <v>1200000</v>
      </c>
      <c r="I24" s="43" t="s">
        <v>534</v>
      </c>
      <c r="K24" s="5"/>
    </row>
    <row r="25" spans="1:11" ht="76.5" hidden="1" x14ac:dyDescent="0.25">
      <c r="A25" s="31"/>
      <c r="B25" s="37"/>
      <c r="C25" s="45"/>
      <c r="D25" s="45"/>
      <c r="E25" s="45"/>
      <c r="F25" s="45"/>
      <c r="G25" s="45">
        <v>21480000</v>
      </c>
      <c r="H25" s="45">
        <v>21480000</v>
      </c>
      <c r="I25" s="43" t="s">
        <v>535</v>
      </c>
      <c r="K25" s="5"/>
    </row>
    <row r="26" spans="1:11" ht="15.75" hidden="1" x14ac:dyDescent="0.25">
      <c r="A26" s="31"/>
      <c r="B26" s="37"/>
      <c r="C26" s="45"/>
      <c r="D26" s="45"/>
      <c r="E26" s="45"/>
      <c r="F26" s="45"/>
      <c r="G26" s="45">
        <v>995200</v>
      </c>
      <c r="H26" s="45">
        <v>995200</v>
      </c>
      <c r="I26" s="43"/>
      <c r="K26" s="5"/>
    </row>
    <row r="27" spans="1:11" ht="51" hidden="1" x14ac:dyDescent="0.25">
      <c r="A27" s="31"/>
      <c r="B27" s="37"/>
      <c r="C27" s="45"/>
      <c r="D27" s="45"/>
      <c r="E27" s="45"/>
      <c r="F27" s="45"/>
      <c r="G27" s="45">
        <v>858293</v>
      </c>
      <c r="H27" s="45">
        <v>858293</v>
      </c>
      <c r="I27" s="43" t="s">
        <v>536</v>
      </c>
      <c r="K27" s="5"/>
    </row>
    <row r="28" spans="1:11" ht="76.5" hidden="1" x14ac:dyDescent="0.25">
      <c r="A28" s="31"/>
      <c r="B28" s="37" t="s">
        <v>408</v>
      </c>
      <c r="C28" s="45"/>
      <c r="D28" s="45"/>
      <c r="E28" s="45"/>
      <c r="F28" s="45"/>
      <c r="G28" s="45">
        <v>4500000</v>
      </c>
      <c r="H28" s="45">
        <v>4500000</v>
      </c>
      <c r="I28" s="43" t="s">
        <v>537</v>
      </c>
      <c r="K28" s="5"/>
    </row>
    <row r="29" spans="1:11" ht="102" x14ac:dyDescent="0.25">
      <c r="A29" s="31"/>
      <c r="B29" s="37"/>
      <c r="C29" s="45"/>
      <c r="D29" s="45"/>
      <c r="E29" s="22">
        <v>22092362</v>
      </c>
      <c r="F29" s="45"/>
      <c r="G29" s="45"/>
      <c r="H29" s="45"/>
      <c r="I29" s="20" t="s">
        <v>538</v>
      </c>
      <c r="J29" s="7" t="s">
        <v>670</v>
      </c>
      <c r="K29" s="23">
        <f>E29+E89+E91+E92+E106+E363+E439</f>
        <v>51316783</v>
      </c>
    </row>
    <row r="30" spans="1:11" ht="51" hidden="1" x14ac:dyDescent="0.25">
      <c r="A30" s="31"/>
      <c r="B30" s="37"/>
      <c r="C30" s="45"/>
      <c r="D30" s="45"/>
      <c r="E30" s="45"/>
      <c r="F30" s="45"/>
      <c r="G30" s="45">
        <v>65985300</v>
      </c>
      <c r="H30" s="45">
        <v>65985300</v>
      </c>
      <c r="I30" s="43" t="s">
        <v>409</v>
      </c>
      <c r="K30" s="5"/>
    </row>
    <row r="31" spans="1:11" ht="51" hidden="1" x14ac:dyDescent="0.25">
      <c r="A31" s="31"/>
      <c r="B31" s="37"/>
      <c r="C31" s="45"/>
      <c r="D31" s="45"/>
      <c r="E31" s="45"/>
      <c r="F31" s="45"/>
      <c r="G31" s="45">
        <v>7034700</v>
      </c>
      <c r="H31" s="45"/>
      <c r="I31" s="43" t="s">
        <v>539</v>
      </c>
      <c r="K31" s="5"/>
    </row>
    <row r="32" spans="1:11" ht="76.5" x14ac:dyDescent="0.25">
      <c r="A32" s="29" t="s">
        <v>174</v>
      </c>
      <c r="B32" s="46" t="s">
        <v>49</v>
      </c>
      <c r="C32" s="126">
        <v>0</v>
      </c>
      <c r="D32" s="126">
        <v>0</v>
      </c>
      <c r="E32" s="126">
        <v>603527380</v>
      </c>
      <c r="F32" s="126">
        <v>30750</v>
      </c>
      <c r="G32" s="126">
        <v>73001659</v>
      </c>
      <c r="H32" s="126">
        <v>74225154</v>
      </c>
      <c r="I32" s="25"/>
      <c r="J32" s="97"/>
      <c r="K32" s="23"/>
    </row>
    <row r="33" spans="1:11" ht="63.75" x14ac:dyDescent="0.25">
      <c r="A33" s="31" t="s">
        <v>175</v>
      </c>
      <c r="B33" s="32" t="s">
        <v>50</v>
      </c>
      <c r="C33" s="30">
        <v>0</v>
      </c>
      <c r="D33" s="30">
        <v>0</v>
      </c>
      <c r="E33" s="30">
        <v>595754097</v>
      </c>
      <c r="F33" s="30">
        <v>0</v>
      </c>
      <c r="G33" s="30">
        <v>71009909</v>
      </c>
      <c r="H33" s="30">
        <v>71009909</v>
      </c>
      <c r="I33" s="12"/>
      <c r="J33" s="19" t="s">
        <v>321</v>
      </c>
      <c r="K33" s="23">
        <f>E136</f>
        <v>39600000</v>
      </c>
    </row>
    <row r="34" spans="1:11" ht="25.5" x14ac:dyDescent="0.25">
      <c r="A34" s="31"/>
      <c r="B34" s="113" t="s">
        <v>51</v>
      </c>
      <c r="C34" s="36">
        <v>0</v>
      </c>
      <c r="D34" s="36">
        <v>0</v>
      </c>
      <c r="E34" s="36">
        <v>595754097</v>
      </c>
      <c r="F34" s="36">
        <v>0</v>
      </c>
      <c r="G34" s="36">
        <v>71009909</v>
      </c>
      <c r="H34" s="36">
        <v>71009909</v>
      </c>
      <c r="I34" s="12"/>
      <c r="J34" s="19" t="s">
        <v>634</v>
      </c>
      <c r="K34" s="23">
        <v>15000000</v>
      </c>
    </row>
    <row r="35" spans="1:11" ht="38.25" hidden="1" x14ac:dyDescent="0.25">
      <c r="A35" s="31"/>
      <c r="B35" s="37"/>
      <c r="C35" s="42"/>
      <c r="D35" s="42"/>
      <c r="E35" s="42"/>
      <c r="F35" s="42"/>
      <c r="G35" s="42">
        <v>4000</v>
      </c>
      <c r="H35" s="42">
        <v>4000</v>
      </c>
      <c r="I35" s="33" t="s">
        <v>411</v>
      </c>
      <c r="K35" s="5"/>
    </row>
    <row r="36" spans="1:11" ht="38.25" hidden="1" x14ac:dyDescent="0.25">
      <c r="A36" s="31"/>
      <c r="B36" s="37"/>
      <c r="C36" s="42"/>
      <c r="D36" s="42"/>
      <c r="E36" s="42"/>
      <c r="F36" s="42"/>
      <c r="G36" s="42">
        <v>13107301</v>
      </c>
      <c r="H36" s="42">
        <v>13107301</v>
      </c>
      <c r="I36" s="33" t="s">
        <v>412</v>
      </c>
      <c r="K36" s="5"/>
    </row>
    <row r="37" spans="1:11" ht="38.25" hidden="1" x14ac:dyDescent="0.25">
      <c r="A37" s="31"/>
      <c r="B37" s="37"/>
      <c r="C37" s="42"/>
      <c r="D37" s="42"/>
      <c r="E37" s="42"/>
      <c r="F37" s="42"/>
      <c r="G37" s="42">
        <v>93734</v>
      </c>
      <c r="H37" s="42">
        <v>93734</v>
      </c>
      <c r="I37" s="33" t="s">
        <v>413</v>
      </c>
      <c r="K37" s="5"/>
    </row>
    <row r="38" spans="1:11" ht="51" hidden="1" x14ac:dyDescent="0.25">
      <c r="A38" s="31"/>
      <c r="B38" s="37"/>
      <c r="C38" s="42"/>
      <c r="D38" s="42"/>
      <c r="E38" s="42"/>
      <c r="F38" s="42"/>
      <c r="G38" s="42">
        <v>1500000</v>
      </c>
      <c r="H38" s="42">
        <v>1500000</v>
      </c>
      <c r="I38" s="33" t="s">
        <v>414</v>
      </c>
      <c r="K38" s="5"/>
    </row>
    <row r="39" spans="1:11" ht="51" hidden="1" x14ac:dyDescent="0.25">
      <c r="A39" s="31"/>
      <c r="B39" s="37"/>
      <c r="C39" s="42"/>
      <c r="D39" s="42"/>
      <c r="E39" s="42"/>
      <c r="F39" s="42"/>
      <c r="G39" s="42">
        <v>74400</v>
      </c>
      <c r="H39" s="42">
        <v>74400</v>
      </c>
      <c r="I39" s="33" t="s">
        <v>415</v>
      </c>
      <c r="K39" s="5"/>
    </row>
    <row r="40" spans="1:11" ht="38.25" hidden="1" x14ac:dyDescent="0.25">
      <c r="A40" s="31"/>
      <c r="B40" s="37"/>
      <c r="C40" s="42"/>
      <c r="D40" s="42"/>
      <c r="E40" s="42"/>
      <c r="F40" s="42"/>
      <c r="G40" s="42">
        <v>15000000</v>
      </c>
      <c r="H40" s="42">
        <v>15000000</v>
      </c>
      <c r="I40" s="33" t="s">
        <v>416</v>
      </c>
      <c r="K40" s="5"/>
    </row>
    <row r="41" spans="1:11" ht="38.25" hidden="1" x14ac:dyDescent="0.25">
      <c r="A41" s="31"/>
      <c r="B41" s="37"/>
      <c r="C41" s="42"/>
      <c r="D41" s="42"/>
      <c r="E41" s="42"/>
      <c r="F41" s="42"/>
      <c r="G41" s="42">
        <v>419000</v>
      </c>
      <c r="H41" s="42">
        <v>419000</v>
      </c>
      <c r="I41" s="33" t="s">
        <v>417</v>
      </c>
      <c r="K41" s="5"/>
    </row>
    <row r="42" spans="1:11" ht="76.5" hidden="1" x14ac:dyDescent="0.25">
      <c r="A42" s="31"/>
      <c r="B42" s="37"/>
      <c r="C42" s="42"/>
      <c r="D42" s="42"/>
      <c r="E42" s="42"/>
      <c r="F42" s="42"/>
      <c r="G42" s="42">
        <v>9400</v>
      </c>
      <c r="H42" s="42">
        <v>9400</v>
      </c>
      <c r="I42" s="33" t="s">
        <v>418</v>
      </c>
      <c r="K42" s="5"/>
    </row>
    <row r="43" spans="1:11" ht="38.25" hidden="1" x14ac:dyDescent="0.25">
      <c r="A43" s="31"/>
      <c r="B43" s="37"/>
      <c r="C43" s="42"/>
      <c r="D43" s="42"/>
      <c r="E43" s="42"/>
      <c r="F43" s="42"/>
      <c r="G43" s="42">
        <v>18000</v>
      </c>
      <c r="H43" s="42">
        <v>18000</v>
      </c>
      <c r="I43" s="33" t="s">
        <v>419</v>
      </c>
      <c r="K43" s="5"/>
    </row>
    <row r="44" spans="1:11" ht="165.75" x14ac:dyDescent="0.25">
      <c r="A44" s="31"/>
      <c r="B44" s="37"/>
      <c r="C44" s="42"/>
      <c r="D44" s="42"/>
      <c r="E44" s="42">
        <v>13500000</v>
      </c>
      <c r="F44" s="42"/>
      <c r="G44" s="42"/>
      <c r="H44" s="42"/>
      <c r="I44" s="16" t="s">
        <v>420</v>
      </c>
      <c r="J44" s="32" t="s">
        <v>293</v>
      </c>
      <c r="K44" s="21">
        <f>E188</f>
        <v>334368400</v>
      </c>
    </row>
    <row r="45" spans="1:11" ht="89.25" x14ac:dyDescent="0.25">
      <c r="A45" s="31"/>
      <c r="B45" s="37"/>
      <c r="C45" s="42"/>
      <c r="D45" s="42"/>
      <c r="E45" s="42">
        <v>39886000</v>
      </c>
      <c r="F45" s="42"/>
      <c r="G45" s="42"/>
      <c r="H45" s="42"/>
      <c r="I45" s="16" t="s">
        <v>421</v>
      </c>
      <c r="J45" s="154" t="s">
        <v>295</v>
      </c>
      <c r="K45" s="23">
        <v>15000000</v>
      </c>
    </row>
    <row r="46" spans="1:11" ht="26.25" x14ac:dyDescent="0.25">
      <c r="A46" s="31"/>
      <c r="B46" s="37"/>
      <c r="C46" s="42"/>
      <c r="D46" s="42"/>
      <c r="E46" s="11">
        <v>5563700</v>
      </c>
      <c r="F46" s="42"/>
      <c r="G46" s="42"/>
      <c r="H46" s="42"/>
      <c r="I46" s="16" t="s">
        <v>422</v>
      </c>
      <c r="J46" s="8" t="s">
        <v>642</v>
      </c>
      <c r="K46" s="23">
        <f>E249</f>
        <v>20000000</v>
      </c>
    </row>
    <row r="47" spans="1:11" ht="102.75" x14ac:dyDescent="0.25">
      <c r="A47" s="31"/>
      <c r="B47" s="37"/>
      <c r="C47" s="42"/>
      <c r="D47" s="42"/>
      <c r="E47" s="11">
        <v>21940000</v>
      </c>
      <c r="F47" s="42"/>
      <c r="G47" s="42"/>
      <c r="H47" s="42"/>
      <c r="I47" s="16" t="s">
        <v>423</v>
      </c>
      <c r="J47" s="8" t="s">
        <v>296</v>
      </c>
      <c r="K47" s="23">
        <f>E252</f>
        <v>19100000</v>
      </c>
    </row>
    <row r="48" spans="1:11" ht="127.5" hidden="1" x14ac:dyDescent="0.25">
      <c r="A48" s="31"/>
      <c r="B48" s="37" t="s">
        <v>424</v>
      </c>
      <c r="C48" s="42"/>
      <c r="D48" s="42"/>
      <c r="E48" s="42"/>
      <c r="F48" s="42"/>
      <c r="G48" s="42">
        <v>647666</v>
      </c>
      <c r="H48" s="42">
        <v>647666</v>
      </c>
      <c r="I48" s="33" t="s">
        <v>425</v>
      </c>
      <c r="K48" s="5"/>
    </row>
    <row r="49" spans="1:11" ht="102" x14ac:dyDescent="0.25">
      <c r="A49" s="31"/>
      <c r="B49" s="37" t="s">
        <v>426</v>
      </c>
      <c r="C49" s="42"/>
      <c r="D49" s="42"/>
      <c r="E49" s="11">
        <v>278463378</v>
      </c>
      <c r="F49" s="42"/>
      <c r="G49" s="42"/>
      <c r="H49" s="42"/>
      <c r="I49" s="16" t="s">
        <v>540</v>
      </c>
      <c r="J49" s="19" t="s">
        <v>297</v>
      </c>
      <c r="K49" s="23">
        <f>E253</f>
        <v>109986000</v>
      </c>
    </row>
    <row r="50" spans="1:11" ht="102" x14ac:dyDescent="0.25">
      <c r="A50" s="31"/>
      <c r="B50" s="37" t="s">
        <v>428</v>
      </c>
      <c r="C50" s="42"/>
      <c r="D50" s="42"/>
      <c r="E50" s="11">
        <v>198763512</v>
      </c>
      <c r="F50" s="42"/>
      <c r="G50" s="42"/>
      <c r="H50" s="42"/>
      <c r="I50" s="16" t="s">
        <v>541</v>
      </c>
      <c r="J50" s="19" t="s">
        <v>301</v>
      </c>
      <c r="K50" s="23">
        <f>E256</f>
        <v>148465000</v>
      </c>
    </row>
    <row r="51" spans="1:11" ht="153" hidden="1" x14ac:dyDescent="0.25">
      <c r="A51" s="31"/>
      <c r="B51" s="37" t="s">
        <v>430</v>
      </c>
      <c r="C51" s="42"/>
      <c r="D51" s="42"/>
      <c r="E51" s="42"/>
      <c r="F51" s="42"/>
      <c r="G51" s="42">
        <v>236951</v>
      </c>
      <c r="H51" s="42">
        <v>236951</v>
      </c>
      <c r="I51" s="33" t="s">
        <v>431</v>
      </c>
      <c r="K51" s="5"/>
    </row>
    <row r="52" spans="1:11" ht="127.5" x14ac:dyDescent="0.25">
      <c r="A52" s="31"/>
      <c r="B52" s="37" t="s">
        <v>432</v>
      </c>
      <c r="C52" s="42"/>
      <c r="D52" s="42"/>
      <c r="E52" s="42">
        <v>1674725</v>
      </c>
      <c r="F52" s="42"/>
      <c r="G52" s="42">
        <v>1164056</v>
      </c>
      <c r="H52" s="42">
        <v>1164056</v>
      </c>
      <c r="I52" s="16" t="s">
        <v>433</v>
      </c>
      <c r="J52" s="32" t="s">
        <v>675</v>
      </c>
      <c r="K52" s="23">
        <f>SUBTOTAL(9,K1:K50)</f>
        <v>1716285654</v>
      </c>
    </row>
    <row r="53" spans="1:11" ht="127.5" x14ac:dyDescent="0.25">
      <c r="A53" s="31"/>
      <c r="B53" s="37" t="s">
        <v>432</v>
      </c>
      <c r="C53" s="42"/>
      <c r="D53" s="42"/>
      <c r="E53" s="11">
        <v>403880</v>
      </c>
      <c r="F53" s="42"/>
      <c r="G53" s="42"/>
      <c r="H53" s="42"/>
      <c r="I53" s="33" t="s">
        <v>434</v>
      </c>
    </row>
    <row r="54" spans="1:11" ht="63.75" hidden="1" x14ac:dyDescent="0.25">
      <c r="A54" s="31"/>
      <c r="B54" s="37" t="s">
        <v>435</v>
      </c>
      <c r="C54" s="42"/>
      <c r="D54" s="42"/>
      <c r="E54" s="42"/>
      <c r="F54" s="42"/>
      <c r="G54" s="42">
        <v>920041</v>
      </c>
      <c r="H54" s="42">
        <v>920041</v>
      </c>
      <c r="I54" s="33" t="s">
        <v>431</v>
      </c>
    </row>
    <row r="55" spans="1:11" ht="165.75" x14ac:dyDescent="0.25">
      <c r="A55" s="31"/>
      <c r="B55" s="37" t="s">
        <v>436</v>
      </c>
      <c r="C55" s="42"/>
      <c r="D55" s="42"/>
      <c r="E55" s="42">
        <v>30895450</v>
      </c>
      <c r="F55" s="42"/>
      <c r="G55" s="42">
        <v>7377003</v>
      </c>
      <c r="H55" s="42">
        <v>7377003</v>
      </c>
      <c r="I55" s="33" t="s">
        <v>437</v>
      </c>
    </row>
    <row r="56" spans="1:11" ht="51" hidden="1" x14ac:dyDescent="0.25">
      <c r="A56" s="31"/>
      <c r="B56" s="37" t="s">
        <v>438</v>
      </c>
      <c r="C56" s="42"/>
      <c r="D56" s="42"/>
      <c r="E56" s="42"/>
      <c r="F56" s="42"/>
      <c r="G56" s="42">
        <v>4363425</v>
      </c>
      <c r="H56" s="42">
        <v>4363425</v>
      </c>
      <c r="I56" s="33" t="s">
        <v>439</v>
      </c>
    </row>
    <row r="57" spans="1:11" ht="102" hidden="1" x14ac:dyDescent="0.25">
      <c r="A57" s="31"/>
      <c r="B57" s="37" t="s">
        <v>440</v>
      </c>
      <c r="C57" s="42"/>
      <c r="D57" s="42"/>
      <c r="E57" s="42"/>
      <c r="F57" s="42"/>
      <c r="G57" s="42">
        <v>23522470</v>
      </c>
      <c r="H57" s="42">
        <v>23522470</v>
      </c>
      <c r="I57" s="33" t="s">
        <v>439</v>
      </c>
    </row>
    <row r="58" spans="1:11" ht="89.25" x14ac:dyDescent="0.25">
      <c r="A58" s="31"/>
      <c r="B58" s="37" t="s">
        <v>441</v>
      </c>
      <c r="C58" s="42"/>
      <c r="D58" s="42"/>
      <c r="E58" s="42">
        <v>3299045</v>
      </c>
      <c r="F58" s="42"/>
      <c r="G58" s="42">
        <v>2552462</v>
      </c>
      <c r="H58" s="42">
        <v>2552462</v>
      </c>
      <c r="I58" s="33" t="s">
        <v>442</v>
      </c>
    </row>
    <row r="59" spans="1:11" ht="89.25" x14ac:dyDescent="0.25">
      <c r="A59" s="31"/>
      <c r="B59" s="37" t="s">
        <v>441</v>
      </c>
      <c r="C59" s="42"/>
      <c r="D59" s="42"/>
      <c r="E59" s="11">
        <v>1364407</v>
      </c>
      <c r="F59" s="42"/>
      <c r="G59" s="42"/>
      <c r="H59" s="42"/>
      <c r="I59" s="33" t="s">
        <v>434</v>
      </c>
    </row>
    <row r="60" spans="1:11" ht="89.25" x14ac:dyDescent="0.25">
      <c r="A60" s="34" t="s">
        <v>150</v>
      </c>
      <c r="B60" s="32" t="s">
        <v>151</v>
      </c>
      <c r="C60" s="49">
        <v>0</v>
      </c>
      <c r="D60" s="49">
        <v>0</v>
      </c>
      <c r="E60" s="49">
        <v>7305000</v>
      </c>
      <c r="F60" s="49">
        <v>0</v>
      </c>
      <c r="G60" s="49">
        <v>1101750</v>
      </c>
      <c r="H60" s="49">
        <v>2325245</v>
      </c>
      <c r="I60" s="33"/>
    </row>
    <row r="61" spans="1:11" ht="25.5" x14ac:dyDescent="0.25">
      <c r="A61" s="34"/>
      <c r="B61" s="113" t="s">
        <v>51</v>
      </c>
      <c r="C61" s="50">
        <v>0</v>
      </c>
      <c r="D61" s="50">
        <v>0</v>
      </c>
      <c r="E61" s="50">
        <v>7305000</v>
      </c>
      <c r="F61" s="50">
        <v>0</v>
      </c>
      <c r="G61" s="50">
        <v>1101750</v>
      </c>
      <c r="H61" s="50">
        <v>2325245</v>
      </c>
      <c r="I61" s="33"/>
    </row>
    <row r="62" spans="1:11" ht="89.25" hidden="1" x14ac:dyDescent="0.25">
      <c r="A62" s="34"/>
      <c r="B62" s="37"/>
      <c r="C62" s="45"/>
      <c r="D62" s="45"/>
      <c r="E62" s="45"/>
      <c r="F62" s="45"/>
      <c r="G62" s="45"/>
      <c r="H62" s="45">
        <v>1223495</v>
      </c>
      <c r="I62" s="33" t="s">
        <v>443</v>
      </c>
    </row>
    <row r="63" spans="1:11" ht="38.25" hidden="1" x14ac:dyDescent="0.25">
      <c r="A63" s="34"/>
      <c r="B63" s="37"/>
      <c r="C63" s="45"/>
      <c r="D63" s="45"/>
      <c r="E63" s="45"/>
      <c r="F63" s="45"/>
      <c r="G63" s="45">
        <v>960000</v>
      </c>
      <c r="H63" s="45">
        <v>960000</v>
      </c>
      <c r="I63" s="33" t="s">
        <v>444</v>
      </c>
    </row>
    <row r="64" spans="1:11" ht="38.25" hidden="1" x14ac:dyDescent="0.25">
      <c r="A64" s="34"/>
      <c r="B64" s="37"/>
      <c r="C64" s="45"/>
      <c r="D64" s="45"/>
      <c r="E64" s="45"/>
      <c r="F64" s="45"/>
      <c r="G64" s="45">
        <v>141750</v>
      </c>
      <c r="H64" s="45">
        <v>141750</v>
      </c>
      <c r="I64" s="33" t="s">
        <v>445</v>
      </c>
    </row>
    <row r="65" spans="1:9" ht="204" x14ac:dyDescent="0.25">
      <c r="A65" s="34"/>
      <c r="B65" s="37"/>
      <c r="C65" s="45"/>
      <c r="D65" s="45"/>
      <c r="E65" s="45">
        <v>7305000</v>
      </c>
      <c r="F65" s="45"/>
      <c r="G65" s="45"/>
      <c r="H65" s="45"/>
      <c r="I65" s="33" t="s">
        <v>542</v>
      </c>
    </row>
    <row r="66" spans="1:9" ht="76.5" x14ac:dyDescent="0.25">
      <c r="A66" s="31" t="s">
        <v>52</v>
      </c>
      <c r="B66" s="38" t="s">
        <v>53</v>
      </c>
      <c r="C66" s="30">
        <v>0</v>
      </c>
      <c r="D66" s="30">
        <v>0</v>
      </c>
      <c r="E66" s="30">
        <v>468283</v>
      </c>
      <c r="F66" s="30">
        <v>30750</v>
      </c>
      <c r="G66" s="30">
        <v>890000</v>
      </c>
      <c r="H66" s="30">
        <v>890000</v>
      </c>
      <c r="I66" s="51"/>
    </row>
    <row r="67" spans="1:9" ht="63.75" x14ac:dyDescent="0.25">
      <c r="A67" s="31"/>
      <c r="B67" s="113" t="s">
        <v>165</v>
      </c>
      <c r="C67" s="36">
        <v>0</v>
      </c>
      <c r="D67" s="36">
        <v>0</v>
      </c>
      <c r="E67" s="36">
        <v>468283</v>
      </c>
      <c r="F67" s="36">
        <v>30750</v>
      </c>
      <c r="G67" s="36">
        <v>890000</v>
      </c>
      <c r="H67" s="36">
        <v>890000</v>
      </c>
      <c r="I67" s="51"/>
    </row>
    <row r="68" spans="1:9" ht="25.5" x14ac:dyDescent="0.25">
      <c r="A68" s="31"/>
      <c r="B68" s="37"/>
      <c r="C68" s="42"/>
      <c r="D68" s="42"/>
      <c r="E68" s="11">
        <v>343283</v>
      </c>
      <c r="F68" s="42"/>
      <c r="G68" s="52"/>
      <c r="H68" s="52"/>
      <c r="I68" s="53" t="s">
        <v>446</v>
      </c>
    </row>
    <row r="69" spans="1:9" ht="63.75" x14ac:dyDescent="0.25">
      <c r="A69" s="31"/>
      <c r="B69" s="37" t="s">
        <v>447</v>
      </c>
      <c r="C69" s="42"/>
      <c r="D69" s="42"/>
      <c r="E69" s="42">
        <v>125000</v>
      </c>
      <c r="F69" s="42"/>
      <c r="G69" s="52"/>
      <c r="H69" s="52"/>
      <c r="I69" s="53" t="s">
        <v>449</v>
      </c>
    </row>
    <row r="70" spans="1:9" ht="38.25" hidden="1" x14ac:dyDescent="0.25">
      <c r="A70" s="31"/>
      <c r="B70" s="37"/>
      <c r="C70" s="42"/>
      <c r="D70" s="42"/>
      <c r="E70" s="42"/>
      <c r="F70" s="42">
        <v>30750</v>
      </c>
      <c r="G70" s="52"/>
      <c r="H70" s="52"/>
      <c r="I70" s="53" t="s">
        <v>625</v>
      </c>
    </row>
    <row r="71" spans="1:9" ht="38.25" hidden="1" x14ac:dyDescent="0.25">
      <c r="A71" s="31"/>
      <c r="B71" s="37"/>
      <c r="C71" s="42"/>
      <c r="D71" s="42"/>
      <c r="E71" s="42"/>
      <c r="F71" s="42"/>
      <c r="G71" s="52">
        <v>890000</v>
      </c>
      <c r="H71" s="52">
        <v>890000</v>
      </c>
      <c r="I71" s="53" t="s">
        <v>451</v>
      </c>
    </row>
    <row r="72" spans="1:9" ht="63.75" x14ac:dyDescent="0.25">
      <c r="A72" s="29" t="s">
        <v>176</v>
      </c>
      <c r="B72" s="55" t="s">
        <v>55</v>
      </c>
      <c r="C72" s="126">
        <v>16000</v>
      </c>
      <c r="D72" s="126">
        <v>0</v>
      </c>
      <c r="E72" s="126">
        <v>288305749</v>
      </c>
      <c r="F72" s="126">
        <v>2924244</v>
      </c>
      <c r="G72" s="126">
        <v>82809788</v>
      </c>
      <c r="H72" s="126">
        <v>82809788</v>
      </c>
      <c r="I72" s="127"/>
    </row>
    <row r="73" spans="1:9" ht="63.75" x14ac:dyDescent="0.25">
      <c r="A73" s="31" t="s">
        <v>177</v>
      </c>
      <c r="B73" s="57" t="s">
        <v>56</v>
      </c>
      <c r="C73" s="30">
        <v>16000</v>
      </c>
      <c r="D73" s="30">
        <v>0</v>
      </c>
      <c r="E73" s="30">
        <v>282458585</v>
      </c>
      <c r="F73" s="30">
        <v>2924244</v>
      </c>
      <c r="G73" s="30">
        <v>81651628</v>
      </c>
      <c r="H73" s="30">
        <v>81651628</v>
      </c>
      <c r="I73" s="37"/>
    </row>
    <row r="74" spans="1:9" ht="51" x14ac:dyDescent="0.25">
      <c r="A74" s="31"/>
      <c r="B74" s="114" t="s">
        <v>57</v>
      </c>
      <c r="C74" s="36">
        <v>16000</v>
      </c>
      <c r="D74" s="36">
        <v>0</v>
      </c>
      <c r="E74" s="36">
        <v>282458585</v>
      </c>
      <c r="F74" s="36">
        <v>2924244</v>
      </c>
      <c r="G74" s="36">
        <v>81651628</v>
      </c>
      <c r="H74" s="36">
        <v>81651628</v>
      </c>
      <c r="I74" s="37"/>
    </row>
    <row r="75" spans="1:9" ht="128.25" hidden="1" x14ac:dyDescent="0.25">
      <c r="A75" s="31"/>
      <c r="B75" s="151" t="s">
        <v>460</v>
      </c>
      <c r="C75" s="152">
        <v>16000</v>
      </c>
      <c r="D75" s="36"/>
      <c r="E75" s="36"/>
      <c r="F75" s="36"/>
      <c r="G75" s="36"/>
      <c r="H75" s="36"/>
      <c r="I75" s="150"/>
    </row>
    <row r="76" spans="1:9" ht="140.25" x14ac:dyDescent="0.25">
      <c r="A76" s="31"/>
      <c r="B76" s="37" t="s">
        <v>285</v>
      </c>
      <c r="C76" s="42"/>
      <c r="D76" s="42"/>
      <c r="E76" s="11">
        <v>58926000</v>
      </c>
      <c r="F76" s="42"/>
      <c r="G76" s="52">
        <v>17121000</v>
      </c>
      <c r="H76" s="52">
        <v>17121000</v>
      </c>
      <c r="I76" s="53" t="s">
        <v>543</v>
      </c>
    </row>
    <row r="77" spans="1:9" ht="114.75" x14ac:dyDescent="0.25">
      <c r="A77" s="31"/>
      <c r="B77" s="37" t="s">
        <v>312</v>
      </c>
      <c r="C77" s="42"/>
      <c r="D77" s="42"/>
      <c r="E77" s="42">
        <v>3711000</v>
      </c>
      <c r="F77" s="42"/>
      <c r="G77" s="52"/>
      <c r="H77" s="52"/>
      <c r="I77" s="53" t="s">
        <v>648</v>
      </c>
    </row>
    <row r="78" spans="1:9" ht="191.25" hidden="1" x14ac:dyDescent="0.25">
      <c r="A78" s="31"/>
      <c r="B78" s="37" t="s">
        <v>452</v>
      </c>
      <c r="C78" s="42"/>
      <c r="D78" s="42"/>
      <c r="E78" s="42"/>
      <c r="F78" s="42"/>
      <c r="G78" s="52">
        <v>354748</v>
      </c>
      <c r="H78" s="52">
        <v>354748</v>
      </c>
      <c r="I78" s="53" t="s">
        <v>453</v>
      </c>
    </row>
    <row r="79" spans="1:9" ht="127.5" hidden="1" x14ac:dyDescent="0.25">
      <c r="A79" s="31"/>
      <c r="B79" s="37" t="s">
        <v>454</v>
      </c>
      <c r="C79" s="42"/>
      <c r="D79" s="42"/>
      <c r="E79" s="42"/>
      <c r="F79" s="42"/>
      <c r="G79" s="52"/>
      <c r="H79" s="52">
        <v>22201000</v>
      </c>
      <c r="I79" s="53" t="s">
        <v>455</v>
      </c>
    </row>
    <row r="80" spans="1:9" ht="51" hidden="1" x14ac:dyDescent="0.25">
      <c r="A80" s="31"/>
      <c r="B80" s="37" t="s">
        <v>456</v>
      </c>
      <c r="C80" s="42"/>
      <c r="D80" s="42"/>
      <c r="E80" s="42"/>
      <c r="F80" s="42"/>
      <c r="G80" s="52">
        <v>24558353</v>
      </c>
      <c r="H80" s="52">
        <v>3790000</v>
      </c>
      <c r="I80" s="53" t="s">
        <v>457</v>
      </c>
    </row>
    <row r="81" spans="1:9" ht="76.5" x14ac:dyDescent="0.25">
      <c r="A81" s="31"/>
      <c r="B81" s="37" t="s">
        <v>458</v>
      </c>
      <c r="C81" s="42"/>
      <c r="D81" s="42"/>
      <c r="E81" s="42">
        <v>8565353</v>
      </c>
      <c r="F81" s="42"/>
      <c r="G81" s="52">
        <v>3484647</v>
      </c>
      <c r="H81" s="52">
        <v>2052000</v>
      </c>
      <c r="I81" s="53" t="s">
        <v>459</v>
      </c>
    </row>
    <row r="82" spans="1:9" ht="89.25" hidden="1" x14ac:dyDescent="0.25">
      <c r="A82" s="31"/>
      <c r="B82" s="37" t="s">
        <v>461</v>
      </c>
      <c r="C82" s="42"/>
      <c r="D82" s="42"/>
      <c r="E82" s="42"/>
      <c r="F82" s="42">
        <v>14660</v>
      </c>
      <c r="G82" s="52">
        <v>400000</v>
      </c>
      <c r="H82" s="52">
        <v>400000</v>
      </c>
      <c r="I82" s="53" t="s">
        <v>666</v>
      </c>
    </row>
    <row r="83" spans="1:9" ht="51" x14ac:dyDescent="0.25">
      <c r="A83" s="31"/>
      <c r="B83" s="37" t="s">
        <v>462</v>
      </c>
      <c r="C83" s="42"/>
      <c r="D83" s="42"/>
      <c r="E83" s="42">
        <v>3219994</v>
      </c>
      <c r="F83" s="42"/>
      <c r="G83" s="52"/>
      <c r="H83" s="52"/>
      <c r="I83" s="53" t="s">
        <v>463</v>
      </c>
    </row>
    <row r="84" spans="1:9" ht="127.5" x14ac:dyDescent="0.25">
      <c r="A84" s="31"/>
      <c r="B84" s="37" t="s">
        <v>464</v>
      </c>
      <c r="C84" s="42"/>
      <c r="D84" s="42"/>
      <c r="E84" s="42">
        <v>11303759</v>
      </c>
      <c r="F84" s="42"/>
      <c r="G84" s="52">
        <v>8856762</v>
      </c>
      <c r="H84" s="52">
        <v>8856762</v>
      </c>
      <c r="I84" s="53" t="s">
        <v>465</v>
      </c>
    </row>
    <row r="85" spans="1:9" ht="127.5" hidden="1" x14ac:dyDescent="0.25">
      <c r="A85" s="31"/>
      <c r="B85" s="37" t="s">
        <v>466</v>
      </c>
      <c r="C85" s="42"/>
      <c r="D85" s="42"/>
      <c r="E85" s="42"/>
      <c r="F85" s="42"/>
      <c r="G85" s="52">
        <v>3942027</v>
      </c>
      <c r="H85" s="52">
        <v>3942027</v>
      </c>
      <c r="I85" s="53" t="s">
        <v>467</v>
      </c>
    </row>
    <row r="86" spans="1:9" ht="114.75" hidden="1" x14ac:dyDescent="0.25">
      <c r="A86" s="31"/>
      <c r="B86" s="37" t="s">
        <v>468</v>
      </c>
      <c r="C86" s="42"/>
      <c r="D86" s="42"/>
      <c r="E86" s="42"/>
      <c r="F86" s="42"/>
      <c r="G86" s="52"/>
      <c r="H86" s="52">
        <v>92705</v>
      </c>
      <c r="I86" s="53" t="s">
        <v>599</v>
      </c>
    </row>
    <row r="87" spans="1:9" ht="63.75" hidden="1" x14ac:dyDescent="0.25">
      <c r="A87" s="31"/>
      <c r="B87" s="37" t="s">
        <v>469</v>
      </c>
      <c r="C87" s="42"/>
      <c r="D87" s="42"/>
      <c r="E87" s="42"/>
      <c r="F87" s="42"/>
      <c r="G87" s="52">
        <v>72705</v>
      </c>
      <c r="H87" s="52"/>
      <c r="I87" s="53" t="s">
        <v>470</v>
      </c>
    </row>
    <row r="88" spans="1:9" ht="114.75" hidden="1" x14ac:dyDescent="0.25">
      <c r="A88" s="31"/>
      <c r="B88" s="37" t="s">
        <v>468</v>
      </c>
      <c r="C88" s="42"/>
      <c r="D88" s="42"/>
      <c r="E88" s="42"/>
      <c r="F88" s="42"/>
      <c r="G88" s="52">
        <v>20000</v>
      </c>
      <c r="H88" s="52"/>
      <c r="I88" s="53" t="s">
        <v>471</v>
      </c>
    </row>
    <row r="89" spans="1:9" ht="153" x14ac:dyDescent="0.25">
      <c r="A89" s="31"/>
      <c r="B89" s="37" t="s">
        <v>472</v>
      </c>
      <c r="C89" s="42"/>
      <c r="D89" s="42"/>
      <c r="E89" s="11">
        <v>1177853</v>
      </c>
      <c r="F89" s="42">
        <v>1538259</v>
      </c>
      <c r="G89" s="52">
        <v>84548</v>
      </c>
      <c r="H89" s="52">
        <v>84548</v>
      </c>
      <c r="I89" s="53" t="s">
        <v>627</v>
      </c>
    </row>
    <row r="90" spans="1:9" ht="114.75" x14ac:dyDescent="0.25">
      <c r="A90" s="31"/>
      <c r="B90" s="37" t="s">
        <v>473</v>
      </c>
      <c r="C90" s="42"/>
      <c r="D90" s="42"/>
      <c r="E90" s="42">
        <v>605639</v>
      </c>
      <c r="F90" s="42"/>
      <c r="G90" s="52"/>
      <c r="H90" s="52"/>
      <c r="I90" s="53" t="s">
        <v>544</v>
      </c>
    </row>
    <row r="91" spans="1:9" ht="229.5" x14ac:dyDescent="0.25">
      <c r="A91" s="31"/>
      <c r="B91" s="37" t="s">
        <v>474</v>
      </c>
      <c r="C91" s="42"/>
      <c r="D91" s="42"/>
      <c r="E91" s="11">
        <v>5237283</v>
      </c>
      <c r="F91" s="42">
        <v>1371325</v>
      </c>
      <c r="G91" s="52">
        <v>814893</v>
      </c>
      <c r="H91" s="52">
        <v>814893</v>
      </c>
      <c r="I91" s="53" t="s">
        <v>632</v>
      </c>
    </row>
    <row r="92" spans="1:9" ht="229.5" x14ac:dyDescent="0.25">
      <c r="A92" s="31"/>
      <c r="B92" s="37" t="s">
        <v>475</v>
      </c>
      <c r="C92" s="42"/>
      <c r="D92" s="42"/>
      <c r="E92" s="11">
        <v>13296883</v>
      </c>
      <c r="F92" s="42"/>
      <c r="G92" s="52"/>
      <c r="H92" s="52"/>
      <c r="I92" s="53" t="s">
        <v>545</v>
      </c>
    </row>
    <row r="93" spans="1:9" ht="63.75" x14ac:dyDescent="0.25">
      <c r="A93" s="31"/>
      <c r="B93" s="37" t="s">
        <v>476</v>
      </c>
      <c r="C93" s="42"/>
      <c r="D93" s="42"/>
      <c r="E93" s="42">
        <v>360060</v>
      </c>
      <c r="F93" s="42"/>
      <c r="G93" s="52"/>
      <c r="H93" s="52"/>
      <c r="I93" s="53" t="s">
        <v>477</v>
      </c>
    </row>
    <row r="94" spans="1:9" ht="229.5" x14ac:dyDescent="0.25">
      <c r="A94" s="31"/>
      <c r="B94" s="37" t="s">
        <v>475</v>
      </c>
      <c r="C94" s="42"/>
      <c r="D94" s="42"/>
      <c r="E94" s="42">
        <v>1810093</v>
      </c>
      <c r="F94" s="42"/>
      <c r="G94" s="52"/>
      <c r="H94" s="52"/>
      <c r="I94" s="53" t="s">
        <v>546</v>
      </c>
    </row>
    <row r="95" spans="1:9" ht="102" x14ac:dyDescent="0.25">
      <c r="A95" s="31"/>
      <c r="B95" s="37" t="s">
        <v>478</v>
      </c>
      <c r="C95" s="42"/>
      <c r="D95" s="42"/>
      <c r="E95" s="11">
        <v>119173194</v>
      </c>
      <c r="F95" s="42"/>
      <c r="G95" s="52">
        <v>21647025</v>
      </c>
      <c r="H95" s="52">
        <v>21647025</v>
      </c>
      <c r="I95" s="53" t="s">
        <v>547</v>
      </c>
    </row>
    <row r="96" spans="1:9" ht="51" x14ac:dyDescent="0.25">
      <c r="A96" s="31"/>
      <c r="B96" s="37" t="s">
        <v>479</v>
      </c>
      <c r="C96" s="42"/>
      <c r="D96" s="42"/>
      <c r="E96" s="11">
        <v>4425129</v>
      </c>
      <c r="F96" s="42"/>
      <c r="G96" s="52"/>
      <c r="H96" s="52"/>
      <c r="I96" s="53" t="s">
        <v>480</v>
      </c>
    </row>
    <row r="97" spans="1:9" ht="38.25" x14ac:dyDescent="0.25">
      <c r="A97" s="31"/>
      <c r="B97" s="37" t="s">
        <v>481</v>
      </c>
      <c r="C97" s="42"/>
      <c r="D97" s="42"/>
      <c r="E97" s="11">
        <v>2089934</v>
      </c>
      <c r="F97" s="42"/>
      <c r="G97" s="52"/>
      <c r="H97" s="52"/>
      <c r="I97" s="53" t="s">
        <v>600</v>
      </c>
    </row>
    <row r="98" spans="1:9" ht="63.75" x14ac:dyDescent="0.25">
      <c r="A98" s="31"/>
      <c r="B98" s="37" t="s">
        <v>483</v>
      </c>
      <c r="C98" s="42"/>
      <c r="D98" s="42"/>
      <c r="E98" s="42">
        <v>7300000</v>
      </c>
      <c r="F98" s="42"/>
      <c r="G98" s="52"/>
      <c r="H98" s="52"/>
      <c r="I98" s="53" t="s">
        <v>484</v>
      </c>
    </row>
    <row r="99" spans="1:9" ht="63.75" x14ac:dyDescent="0.25">
      <c r="A99" s="31"/>
      <c r="B99" s="37" t="s">
        <v>410</v>
      </c>
      <c r="C99" s="42"/>
      <c r="D99" s="42"/>
      <c r="E99" s="11">
        <v>41256411</v>
      </c>
      <c r="F99" s="42"/>
      <c r="G99" s="52"/>
      <c r="H99" s="52"/>
      <c r="I99" s="53" t="s">
        <v>485</v>
      </c>
    </row>
    <row r="100" spans="1:9" ht="191.25" hidden="1" x14ac:dyDescent="0.25">
      <c r="A100" s="31"/>
      <c r="B100" s="37" t="s">
        <v>626</v>
      </c>
      <c r="C100" s="42"/>
      <c r="D100" s="42"/>
      <c r="E100" s="42"/>
      <c r="F100" s="42"/>
      <c r="G100" s="52">
        <v>294920</v>
      </c>
      <c r="H100" s="52">
        <v>294920</v>
      </c>
      <c r="I100" s="53" t="s">
        <v>633</v>
      </c>
    </row>
    <row r="101" spans="1:9" ht="38.25" x14ac:dyDescent="0.25">
      <c r="A101" s="31" t="s">
        <v>178</v>
      </c>
      <c r="B101" s="60" t="s">
        <v>60</v>
      </c>
      <c r="C101" s="30">
        <v>0</v>
      </c>
      <c r="D101" s="30">
        <v>0</v>
      </c>
      <c r="E101" s="30">
        <v>5847164</v>
      </c>
      <c r="F101" s="30">
        <v>0</v>
      </c>
      <c r="G101" s="30">
        <v>1158160</v>
      </c>
      <c r="H101" s="30">
        <v>1158160</v>
      </c>
      <c r="I101" s="37"/>
    </row>
    <row r="102" spans="1:9" ht="25.5" x14ac:dyDescent="0.25">
      <c r="A102" s="31"/>
      <c r="B102" s="114" t="s">
        <v>36</v>
      </c>
      <c r="C102" s="36">
        <v>0</v>
      </c>
      <c r="D102" s="36">
        <v>0</v>
      </c>
      <c r="E102" s="36">
        <v>5847164</v>
      </c>
      <c r="F102" s="36">
        <v>0</v>
      </c>
      <c r="G102" s="36">
        <v>1158160</v>
      </c>
      <c r="H102" s="36">
        <v>1158160</v>
      </c>
      <c r="I102" s="43"/>
    </row>
    <row r="103" spans="1:9" ht="89.25" x14ac:dyDescent="0.25">
      <c r="A103" s="31"/>
      <c r="B103" s="140" t="s">
        <v>486</v>
      </c>
      <c r="C103" s="45"/>
      <c r="D103" s="45"/>
      <c r="E103" s="42">
        <v>1500000</v>
      </c>
      <c r="F103" s="42"/>
      <c r="G103" s="45">
        <v>1158160</v>
      </c>
      <c r="H103" s="45"/>
      <c r="I103" s="43" t="s">
        <v>487</v>
      </c>
    </row>
    <row r="104" spans="1:9" ht="76.5" hidden="1" x14ac:dyDescent="0.25">
      <c r="A104" s="31"/>
      <c r="B104" s="48" t="s">
        <v>488</v>
      </c>
      <c r="C104" s="45"/>
      <c r="D104" s="45"/>
      <c r="E104" s="42"/>
      <c r="F104" s="42"/>
      <c r="G104" s="45"/>
      <c r="H104" s="45">
        <v>1158160</v>
      </c>
      <c r="I104" s="120" t="s">
        <v>489</v>
      </c>
    </row>
    <row r="105" spans="1:9" ht="178.5" x14ac:dyDescent="0.25">
      <c r="A105" s="31"/>
      <c r="B105" s="48" t="s">
        <v>490</v>
      </c>
      <c r="C105" s="45"/>
      <c r="D105" s="45"/>
      <c r="E105" s="42">
        <v>2000000</v>
      </c>
      <c r="F105" s="42"/>
      <c r="G105" s="45"/>
      <c r="H105" s="45"/>
      <c r="I105" s="74" t="s">
        <v>548</v>
      </c>
    </row>
    <row r="106" spans="1:9" ht="63.75" x14ac:dyDescent="0.25">
      <c r="A106" s="31"/>
      <c r="B106" s="48" t="s">
        <v>334</v>
      </c>
      <c r="C106" s="45"/>
      <c r="D106" s="45"/>
      <c r="E106" s="11">
        <v>2347164</v>
      </c>
      <c r="F106" s="42"/>
      <c r="G106" s="45"/>
      <c r="H106" s="45"/>
      <c r="I106" s="74" t="s">
        <v>549</v>
      </c>
    </row>
    <row r="107" spans="1:9" ht="89.25" x14ac:dyDescent="0.25">
      <c r="A107" s="64" t="s">
        <v>179</v>
      </c>
      <c r="B107" s="55" t="s">
        <v>70</v>
      </c>
      <c r="C107" s="126">
        <v>4037400</v>
      </c>
      <c r="D107" s="126">
        <v>0</v>
      </c>
      <c r="E107" s="126">
        <v>3743338</v>
      </c>
      <c r="F107" s="126">
        <v>0</v>
      </c>
      <c r="G107" s="126">
        <v>10</v>
      </c>
      <c r="H107" s="126">
        <v>10</v>
      </c>
      <c r="I107" s="141"/>
    </row>
    <row r="108" spans="1:9" ht="89.25" x14ac:dyDescent="0.25">
      <c r="A108" s="31" t="s">
        <v>74</v>
      </c>
      <c r="B108" s="32" t="s">
        <v>75</v>
      </c>
      <c r="C108" s="30">
        <v>4037400</v>
      </c>
      <c r="D108" s="30">
        <v>0</v>
      </c>
      <c r="E108" s="30">
        <v>0</v>
      </c>
      <c r="F108" s="30">
        <v>0</v>
      </c>
      <c r="G108" s="30">
        <v>0</v>
      </c>
      <c r="H108" s="30">
        <v>0</v>
      </c>
      <c r="I108" s="37"/>
    </row>
    <row r="109" spans="1:9" ht="25.5" x14ac:dyDescent="0.25">
      <c r="A109" s="31"/>
      <c r="B109" s="113" t="s">
        <v>67</v>
      </c>
      <c r="C109" s="36">
        <v>4037400</v>
      </c>
      <c r="D109" s="36">
        <v>0</v>
      </c>
      <c r="E109" s="36">
        <v>0</v>
      </c>
      <c r="F109" s="36">
        <v>0</v>
      </c>
      <c r="G109" s="36">
        <v>0</v>
      </c>
      <c r="H109" s="36">
        <v>0</v>
      </c>
      <c r="I109" s="37"/>
    </row>
    <row r="110" spans="1:9" ht="165" hidden="1" x14ac:dyDescent="0.25">
      <c r="A110" s="31"/>
      <c r="B110" s="128" t="s">
        <v>274</v>
      </c>
      <c r="C110" s="68">
        <v>840200</v>
      </c>
      <c r="D110" s="67"/>
      <c r="E110" s="68"/>
      <c r="F110" s="67"/>
      <c r="G110" s="45"/>
      <c r="H110" s="45"/>
      <c r="I110" s="94" t="s">
        <v>550</v>
      </c>
    </row>
    <row r="111" spans="1:9" ht="195" hidden="1" x14ac:dyDescent="0.25">
      <c r="A111" s="31"/>
      <c r="B111" s="128" t="s">
        <v>275</v>
      </c>
      <c r="C111" s="68">
        <v>3197200</v>
      </c>
      <c r="D111" s="67"/>
      <c r="E111" s="68"/>
      <c r="F111" s="67"/>
      <c r="G111" s="45"/>
      <c r="H111" s="45"/>
      <c r="I111" s="43" t="s">
        <v>551</v>
      </c>
    </row>
    <row r="112" spans="1:9" ht="102" hidden="1" x14ac:dyDescent="0.25">
      <c r="A112" s="31"/>
      <c r="B112" s="37" t="s">
        <v>643</v>
      </c>
      <c r="C112" s="68"/>
      <c r="D112" s="67"/>
      <c r="E112" s="68"/>
      <c r="F112" s="67"/>
      <c r="G112" s="45"/>
      <c r="H112" s="45"/>
      <c r="I112" s="153" t="s">
        <v>644</v>
      </c>
    </row>
    <row r="113" spans="1:9" ht="51" x14ac:dyDescent="0.25">
      <c r="A113" s="34" t="s">
        <v>181</v>
      </c>
      <c r="B113" s="69" t="s">
        <v>131</v>
      </c>
      <c r="C113" s="30">
        <v>0</v>
      </c>
      <c r="D113" s="30">
        <v>0</v>
      </c>
      <c r="E113" s="30">
        <v>3743338</v>
      </c>
      <c r="F113" s="30">
        <v>0</v>
      </c>
      <c r="G113" s="30">
        <v>10</v>
      </c>
      <c r="H113" s="30">
        <v>10</v>
      </c>
      <c r="I113" s="37"/>
    </row>
    <row r="114" spans="1:9" ht="25.5" x14ac:dyDescent="0.25">
      <c r="A114" s="34"/>
      <c r="B114" s="113" t="s">
        <v>67</v>
      </c>
      <c r="C114" s="36">
        <v>0</v>
      </c>
      <c r="D114" s="36">
        <v>0</v>
      </c>
      <c r="E114" s="36">
        <v>3743338</v>
      </c>
      <c r="F114" s="36">
        <v>0</v>
      </c>
      <c r="G114" s="36">
        <v>10</v>
      </c>
      <c r="H114" s="36">
        <v>10</v>
      </c>
      <c r="I114" s="37"/>
    </row>
    <row r="115" spans="1:9" ht="102" x14ac:dyDescent="0.25">
      <c r="A115" s="34"/>
      <c r="B115" s="70" t="s">
        <v>276</v>
      </c>
      <c r="C115" s="45"/>
      <c r="D115" s="45"/>
      <c r="E115" s="71">
        <v>3743338</v>
      </c>
      <c r="F115" s="45"/>
      <c r="G115" s="45">
        <v>10</v>
      </c>
      <c r="H115" s="45">
        <v>10</v>
      </c>
      <c r="I115" s="76" t="s">
        <v>646</v>
      </c>
    </row>
    <row r="116" spans="1:9" ht="115.5" x14ac:dyDescent="0.25">
      <c r="A116" s="64" t="s">
        <v>287</v>
      </c>
      <c r="B116" s="130" t="s">
        <v>288</v>
      </c>
      <c r="C116" s="126">
        <v>0</v>
      </c>
      <c r="D116" s="126">
        <v>0</v>
      </c>
      <c r="E116" s="126">
        <v>0</v>
      </c>
      <c r="F116" s="126">
        <v>0</v>
      </c>
      <c r="G116" s="126">
        <v>7400000</v>
      </c>
      <c r="H116" s="126">
        <v>7400000</v>
      </c>
      <c r="I116" s="141"/>
    </row>
    <row r="117" spans="1:9" ht="39" x14ac:dyDescent="0.25">
      <c r="A117" s="34" t="s">
        <v>289</v>
      </c>
      <c r="B117" s="131" t="s">
        <v>290</v>
      </c>
      <c r="C117" s="30">
        <v>0</v>
      </c>
      <c r="D117" s="30">
        <v>0</v>
      </c>
      <c r="E117" s="30">
        <v>0</v>
      </c>
      <c r="F117" s="30">
        <v>0</v>
      </c>
      <c r="G117" s="30">
        <v>7400000</v>
      </c>
      <c r="H117" s="30">
        <v>7400000</v>
      </c>
      <c r="I117" s="37"/>
    </row>
    <row r="118" spans="1:9" ht="51.75" x14ac:dyDescent="0.25">
      <c r="A118" s="132"/>
      <c r="B118" s="133" t="s">
        <v>34</v>
      </c>
      <c r="C118" s="36">
        <v>0</v>
      </c>
      <c r="D118" s="36">
        <v>0</v>
      </c>
      <c r="E118" s="36">
        <v>0</v>
      </c>
      <c r="F118" s="36">
        <v>0</v>
      </c>
      <c r="G118" s="36">
        <v>7400000</v>
      </c>
      <c r="H118" s="36">
        <v>7400000</v>
      </c>
      <c r="I118" s="37"/>
    </row>
    <row r="119" spans="1:9" ht="165.75" hidden="1" x14ac:dyDescent="0.25">
      <c r="A119" s="34"/>
      <c r="B119" s="70" t="s">
        <v>291</v>
      </c>
      <c r="C119" s="45"/>
      <c r="D119" s="45"/>
      <c r="E119" s="71"/>
      <c r="F119" s="45"/>
      <c r="G119" s="45">
        <v>7400000</v>
      </c>
      <c r="H119" s="45">
        <v>7400000</v>
      </c>
      <c r="I119" s="37" t="s">
        <v>292</v>
      </c>
    </row>
    <row r="120" spans="1:9" ht="63.75" x14ac:dyDescent="0.25">
      <c r="A120" s="29" t="s">
        <v>25</v>
      </c>
      <c r="B120" s="55" t="s">
        <v>26</v>
      </c>
      <c r="C120" s="126">
        <v>0</v>
      </c>
      <c r="D120" s="126">
        <v>0</v>
      </c>
      <c r="E120" s="126">
        <v>2423529</v>
      </c>
      <c r="F120" s="126">
        <v>1268179</v>
      </c>
      <c r="G120" s="126">
        <v>1525993</v>
      </c>
      <c r="H120" s="126">
        <v>1525993</v>
      </c>
      <c r="I120" s="141"/>
    </row>
    <row r="121" spans="1:9" ht="63.75" x14ac:dyDescent="0.25">
      <c r="A121" s="31" t="s">
        <v>27</v>
      </c>
      <c r="B121" s="57" t="s">
        <v>28</v>
      </c>
      <c r="C121" s="30">
        <v>0</v>
      </c>
      <c r="D121" s="30">
        <v>0</v>
      </c>
      <c r="E121" s="30">
        <v>2423529</v>
      </c>
      <c r="F121" s="30">
        <v>1268179</v>
      </c>
      <c r="G121" s="30">
        <v>1525993</v>
      </c>
      <c r="H121" s="30">
        <v>1525993</v>
      </c>
      <c r="I121" s="37"/>
    </row>
    <row r="122" spans="1:9" ht="51" x14ac:dyDescent="0.25">
      <c r="A122" s="72"/>
      <c r="B122" s="114" t="s">
        <v>29</v>
      </c>
      <c r="C122" s="36">
        <v>0</v>
      </c>
      <c r="D122" s="36">
        <v>0</v>
      </c>
      <c r="E122" s="36">
        <v>2423529</v>
      </c>
      <c r="F122" s="36">
        <v>1268179</v>
      </c>
      <c r="G122" s="36">
        <v>1525993</v>
      </c>
      <c r="H122" s="36">
        <v>1525993</v>
      </c>
      <c r="I122" s="37"/>
    </row>
    <row r="123" spans="1:9" ht="38.25" x14ac:dyDescent="0.25">
      <c r="A123" s="73"/>
      <c r="B123" s="79" t="s">
        <v>491</v>
      </c>
      <c r="C123" s="36"/>
      <c r="D123" s="36"/>
      <c r="E123" s="22">
        <v>2423529</v>
      </c>
      <c r="F123" s="45"/>
      <c r="G123" s="45"/>
      <c r="H123" s="45"/>
      <c r="I123" s="37" t="s">
        <v>492</v>
      </c>
    </row>
    <row r="124" spans="1:9" ht="38.25" hidden="1" x14ac:dyDescent="0.25">
      <c r="A124" s="73"/>
      <c r="B124" s="79" t="s">
        <v>493</v>
      </c>
      <c r="C124" s="36"/>
      <c r="D124" s="36"/>
      <c r="E124" s="45"/>
      <c r="F124" s="45">
        <v>1268179</v>
      </c>
      <c r="G124" s="45"/>
      <c r="H124" s="45"/>
      <c r="I124" s="37" t="s">
        <v>494</v>
      </c>
    </row>
    <row r="125" spans="1:9" ht="63.75" hidden="1" x14ac:dyDescent="0.25">
      <c r="A125" s="73"/>
      <c r="B125" s="79"/>
      <c r="C125" s="36"/>
      <c r="D125" s="36"/>
      <c r="E125" s="45"/>
      <c r="F125" s="45"/>
      <c r="G125" s="45">
        <v>338593</v>
      </c>
      <c r="H125" s="45">
        <v>338593</v>
      </c>
      <c r="I125" s="37" t="s">
        <v>495</v>
      </c>
    </row>
    <row r="126" spans="1:9" ht="51" hidden="1" x14ac:dyDescent="0.25">
      <c r="A126" s="73"/>
      <c r="B126" s="79" t="s">
        <v>493</v>
      </c>
      <c r="C126" s="36"/>
      <c r="D126" s="36"/>
      <c r="E126" s="45"/>
      <c r="F126" s="45"/>
      <c r="G126" s="45">
        <v>1187400</v>
      </c>
      <c r="H126" s="45">
        <v>1187400</v>
      </c>
      <c r="I126" s="37" t="s">
        <v>496</v>
      </c>
    </row>
    <row r="127" spans="1:9" ht="114.75" x14ac:dyDescent="0.25">
      <c r="A127" s="29" t="s">
        <v>211</v>
      </c>
      <c r="B127" s="55" t="s">
        <v>30</v>
      </c>
      <c r="C127" s="126">
        <v>0</v>
      </c>
      <c r="D127" s="126">
        <v>0</v>
      </c>
      <c r="E127" s="126">
        <v>7198600</v>
      </c>
      <c r="F127" s="126">
        <v>0</v>
      </c>
      <c r="G127" s="126">
        <v>0</v>
      </c>
      <c r="H127" s="126">
        <v>0</v>
      </c>
      <c r="I127" s="141"/>
    </row>
    <row r="128" spans="1:9" ht="114.75" x14ac:dyDescent="0.25">
      <c r="A128" s="31" t="s">
        <v>182</v>
      </c>
      <c r="B128" s="75" t="s">
        <v>108</v>
      </c>
      <c r="C128" s="30">
        <v>0</v>
      </c>
      <c r="D128" s="30">
        <v>0</v>
      </c>
      <c r="E128" s="30">
        <v>7198600</v>
      </c>
      <c r="F128" s="30">
        <v>0</v>
      </c>
      <c r="G128" s="30">
        <v>0</v>
      </c>
      <c r="H128" s="30">
        <v>0</v>
      </c>
      <c r="I128" s="37"/>
    </row>
    <row r="129" spans="1:9" ht="38.25" x14ac:dyDescent="0.25">
      <c r="A129" s="31"/>
      <c r="B129" s="116" t="s">
        <v>31</v>
      </c>
      <c r="C129" s="36">
        <v>0</v>
      </c>
      <c r="D129" s="36">
        <v>0</v>
      </c>
      <c r="E129" s="36">
        <v>7198600</v>
      </c>
      <c r="F129" s="36">
        <v>0</v>
      </c>
      <c r="G129" s="36">
        <v>0</v>
      </c>
      <c r="H129" s="36">
        <v>0</v>
      </c>
      <c r="I129" s="37"/>
    </row>
    <row r="130" spans="1:9" ht="89.25" x14ac:dyDescent="0.25">
      <c r="A130" s="31"/>
      <c r="B130" s="37" t="s">
        <v>315</v>
      </c>
      <c r="C130" s="77"/>
      <c r="D130" s="77"/>
      <c r="E130" s="15">
        <v>655600</v>
      </c>
      <c r="F130" s="41"/>
      <c r="G130" s="41"/>
      <c r="H130" s="41"/>
      <c r="I130" s="33" t="s">
        <v>649</v>
      </c>
    </row>
    <row r="131" spans="1:9" ht="63.75" x14ac:dyDescent="0.25">
      <c r="A131" s="31"/>
      <c r="B131" s="37" t="s">
        <v>318</v>
      </c>
      <c r="C131" s="45"/>
      <c r="D131" s="45"/>
      <c r="E131" s="45">
        <v>166000</v>
      </c>
      <c r="F131" s="45"/>
      <c r="G131" s="45"/>
      <c r="H131" s="45"/>
      <c r="I131" s="37" t="s">
        <v>319</v>
      </c>
    </row>
    <row r="132" spans="1:9" ht="76.5" x14ac:dyDescent="0.25">
      <c r="A132" s="31"/>
      <c r="B132" s="37" t="s">
        <v>320</v>
      </c>
      <c r="C132" s="45"/>
      <c r="D132" s="45"/>
      <c r="E132" s="45">
        <v>6377000</v>
      </c>
      <c r="F132" s="45"/>
      <c r="G132" s="45"/>
      <c r="H132" s="45"/>
      <c r="I132" s="37" t="s">
        <v>650</v>
      </c>
    </row>
    <row r="133" spans="1:9" ht="153" x14ac:dyDescent="0.25">
      <c r="A133" s="29" t="s">
        <v>183</v>
      </c>
      <c r="B133" s="55" t="s">
        <v>32</v>
      </c>
      <c r="C133" s="126">
        <v>0</v>
      </c>
      <c r="D133" s="126">
        <v>0</v>
      </c>
      <c r="E133" s="126">
        <v>59196134</v>
      </c>
      <c r="F133" s="126">
        <v>0</v>
      </c>
      <c r="G133" s="126">
        <v>0</v>
      </c>
      <c r="H133" s="126">
        <v>0</v>
      </c>
      <c r="I133" s="141"/>
    </row>
    <row r="134" spans="1:9" ht="153" x14ac:dyDescent="0.25">
      <c r="A134" s="31" t="s">
        <v>109</v>
      </c>
      <c r="B134" s="75" t="s">
        <v>110</v>
      </c>
      <c r="C134" s="30">
        <v>0</v>
      </c>
      <c r="D134" s="30">
        <v>0</v>
      </c>
      <c r="E134" s="30">
        <v>39600000</v>
      </c>
      <c r="F134" s="30">
        <v>0</v>
      </c>
      <c r="G134" s="30">
        <v>0</v>
      </c>
      <c r="H134" s="30">
        <v>0</v>
      </c>
      <c r="I134" s="37"/>
    </row>
    <row r="135" spans="1:9" ht="38.25" x14ac:dyDescent="0.25">
      <c r="A135" s="31"/>
      <c r="B135" s="114" t="s">
        <v>35</v>
      </c>
      <c r="C135" s="36">
        <v>0</v>
      </c>
      <c r="D135" s="36">
        <v>0</v>
      </c>
      <c r="E135" s="36">
        <v>39600000</v>
      </c>
      <c r="F135" s="36">
        <v>0</v>
      </c>
      <c r="G135" s="36">
        <v>0</v>
      </c>
      <c r="H135" s="36">
        <v>0</v>
      </c>
      <c r="I135" s="37"/>
    </row>
    <row r="136" spans="1:9" ht="63.75" x14ac:dyDescent="0.25">
      <c r="A136" s="31"/>
      <c r="B136" s="58"/>
      <c r="C136" s="45"/>
      <c r="D136" s="45"/>
      <c r="E136" s="22">
        <v>39600000</v>
      </c>
      <c r="F136" s="45"/>
      <c r="G136" s="45"/>
      <c r="H136" s="45"/>
      <c r="I136" s="37" t="s">
        <v>321</v>
      </c>
    </row>
    <row r="137" spans="1:9" ht="102" x14ac:dyDescent="0.25">
      <c r="A137" s="31" t="s">
        <v>33</v>
      </c>
      <c r="B137" s="57" t="s">
        <v>134</v>
      </c>
      <c r="C137" s="30">
        <v>0</v>
      </c>
      <c r="D137" s="30">
        <v>0</v>
      </c>
      <c r="E137" s="30">
        <v>19596134</v>
      </c>
      <c r="F137" s="30">
        <v>0</v>
      </c>
      <c r="G137" s="30">
        <v>0</v>
      </c>
      <c r="H137" s="30">
        <v>0</v>
      </c>
      <c r="I137" s="37"/>
    </row>
    <row r="138" spans="1:9" ht="38.25" x14ac:dyDescent="0.25">
      <c r="A138" s="31"/>
      <c r="B138" s="116" t="s">
        <v>31</v>
      </c>
      <c r="C138" s="36">
        <v>0</v>
      </c>
      <c r="D138" s="36">
        <v>0</v>
      </c>
      <c r="E138" s="36">
        <v>19596134</v>
      </c>
      <c r="F138" s="36">
        <v>0</v>
      </c>
      <c r="G138" s="36">
        <v>0</v>
      </c>
      <c r="H138" s="36">
        <v>0</v>
      </c>
      <c r="I138" s="78"/>
    </row>
    <row r="139" spans="1:9" ht="114.75" x14ac:dyDescent="0.25">
      <c r="A139" s="31"/>
      <c r="B139" s="37" t="s">
        <v>322</v>
      </c>
      <c r="C139" s="77"/>
      <c r="D139" s="77"/>
      <c r="E139" s="22">
        <v>3459400</v>
      </c>
      <c r="F139" s="45"/>
      <c r="G139" s="45"/>
      <c r="H139" s="45"/>
      <c r="I139" s="37" t="s">
        <v>651</v>
      </c>
    </row>
    <row r="140" spans="1:9" ht="140.25" x14ac:dyDescent="0.25">
      <c r="A140" s="31"/>
      <c r="B140" s="79" t="s">
        <v>323</v>
      </c>
      <c r="C140" s="45"/>
      <c r="D140" s="45"/>
      <c r="E140" s="45">
        <v>14500000</v>
      </c>
      <c r="F140" s="45"/>
      <c r="G140" s="45"/>
      <c r="H140" s="45"/>
      <c r="I140" s="119" t="s">
        <v>652</v>
      </c>
    </row>
    <row r="141" spans="1:9" ht="76.5" x14ac:dyDescent="0.25">
      <c r="A141" s="31"/>
      <c r="B141" s="79" t="s">
        <v>324</v>
      </c>
      <c r="C141" s="45"/>
      <c r="D141" s="45"/>
      <c r="E141" s="45">
        <v>1000000</v>
      </c>
      <c r="F141" s="45"/>
      <c r="G141" s="45"/>
      <c r="H141" s="45"/>
      <c r="I141" s="37" t="s">
        <v>653</v>
      </c>
    </row>
    <row r="142" spans="1:9" ht="89.25" x14ac:dyDescent="0.25">
      <c r="A142" s="31"/>
      <c r="B142" s="79" t="s">
        <v>325</v>
      </c>
      <c r="C142" s="45"/>
      <c r="D142" s="45"/>
      <c r="E142" s="22">
        <v>636734</v>
      </c>
      <c r="F142" s="45"/>
      <c r="G142" s="45"/>
      <c r="H142" s="45"/>
      <c r="I142" s="37" t="s">
        <v>654</v>
      </c>
    </row>
    <row r="143" spans="1:9" ht="51" x14ac:dyDescent="0.25">
      <c r="A143" s="29" t="s">
        <v>184</v>
      </c>
      <c r="B143" s="80" t="s">
        <v>13</v>
      </c>
      <c r="C143" s="143">
        <v>2500000</v>
      </c>
      <c r="D143" s="143">
        <v>0</v>
      </c>
      <c r="E143" s="143">
        <v>106940437</v>
      </c>
      <c r="F143" s="143">
        <v>0</v>
      </c>
      <c r="G143" s="143">
        <v>486716</v>
      </c>
      <c r="H143" s="143">
        <v>686716</v>
      </c>
      <c r="I143" s="142"/>
    </row>
    <row r="144" spans="1:9" ht="63.75" x14ac:dyDescent="0.25">
      <c r="A144" s="31" t="s">
        <v>185</v>
      </c>
      <c r="B144" s="57" t="s">
        <v>61</v>
      </c>
      <c r="C144" s="30">
        <v>2500000</v>
      </c>
      <c r="D144" s="30">
        <v>0</v>
      </c>
      <c r="E144" s="30">
        <v>105940437</v>
      </c>
      <c r="F144" s="30">
        <v>0</v>
      </c>
      <c r="G144" s="30">
        <v>311716</v>
      </c>
      <c r="H144" s="30">
        <v>311716</v>
      </c>
      <c r="I144" s="56"/>
    </row>
    <row r="145" spans="1:9" ht="25.5" x14ac:dyDescent="0.25">
      <c r="A145" s="31"/>
      <c r="B145" s="113" t="s">
        <v>3</v>
      </c>
      <c r="C145" s="36">
        <v>2500000</v>
      </c>
      <c r="D145" s="36">
        <v>0</v>
      </c>
      <c r="E145" s="36">
        <v>105940437</v>
      </c>
      <c r="F145" s="36">
        <v>0</v>
      </c>
      <c r="G145" s="36">
        <v>311716</v>
      </c>
      <c r="H145" s="36">
        <v>311716</v>
      </c>
      <c r="I145" s="56"/>
    </row>
    <row r="146" spans="1:9" ht="76.5" hidden="1" x14ac:dyDescent="0.25">
      <c r="A146" s="31"/>
      <c r="B146" s="66" t="s">
        <v>497</v>
      </c>
      <c r="C146" s="84">
        <v>2500000</v>
      </c>
      <c r="D146" s="84"/>
      <c r="E146" s="84"/>
      <c r="F146" s="84"/>
      <c r="G146" s="84"/>
      <c r="H146" s="84"/>
      <c r="I146" s="37" t="s">
        <v>498</v>
      </c>
    </row>
    <row r="147" spans="1:9" ht="76.5" x14ac:dyDescent="0.25">
      <c r="A147" s="31"/>
      <c r="B147" s="66" t="s">
        <v>408</v>
      </c>
      <c r="C147" s="84"/>
      <c r="D147" s="84"/>
      <c r="E147" s="17">
        <v>37215915</v>
      </c>
      <c r="F147" s="84"/>
      <c r="G147" s="84"/>
      <c r="H147" s="84"/>
      <c r="I147" s="37" t="s">
        <v>499</v>
      </c>
    </row>
    <row r="148" spans="1:9" ht="51" x14ac:dyDescent="0.25">
      <c r="A148" s="31"/>
      <c r="B148" s="66"/>
      <c r="C148" s="84"/>
      <c r="D148" s="84"/>
      <c r="E148" s="17">
        <v>4156640</v>
      </c>
      <c r="F148" s="84"/>
      <c r="G148" s="84"/>
      <c r="H148" s="84"/>
      <c r="I148" s="37" t="s">
        <v>500</v>
      </c>
    </row>
    <row r="149" spans="1:9" ht="25.5" x14ac:dyDescent="0.25">
      <c r="A149" s="31"/>
      <c r="B149" s="66"/>
      <c r="C149" s="84"/>
      <c r="D149" s="84"/>
      <c r="E149" s="17">
        <v>15000000</v>
      </c>
      <c r="F149" s="84"/>
      <c r="G149" s="84"/>
      <c r="H149" s="84"/>
      <c r="I149" s="37" t="s">
        <v>634</v>
      </c>
    </row>
    <row r="150" spans="1:9" ht="25.5" x14ac:dyDescent="0.25">
      <c r="A150" s="31"/>
      <c r="B150" s="66"/>
      <c r="C150" s="84"/>
      <c r="D150" s="84"/>
      <c r="E150" s="17">
        <v>3422308</v>
      </c>
      <c r="F150" s="84"/>
      <c r="G150" s="84"/>
      <c r="H150" s="84"/>
      <c r="I150" s="37" t="s">
        <v>501</v>
      </c>
    </row>
    <row r="151" spans="1:9" ht="76.5" x14ac:dyDescent="0.25">
      <c r="A151" s="31"/>
      <c r="B151" s="66" t="s">
        <v>514</v>
      </c>
      <c r="C151" s="84"/>
      <c r="D151" s="84"/>
      <c r="E151" s="17">
        <v>43145574</v>
      </c>
      <c r="F151" s="84"/>
      <c r="G151" s="84"/>
      <c r="H151" s="84"/>
      <c r="I151" s="37" t="s">
        <v>515</v>
      </c>
    </row>
    <row r="152" spans="1:9" ht="76.5" hidden="1" x14ac:dyDescent="0.25">
      <c r="A152" s="31"/>
      <c r="B152" s="66"/>
      <c r="C152" s="84"/>
      <c r="D152" s="84"/>
      <c r="E152" s="84"/>
      <c r="F152" s="84"/>
      <c r="G152" s="84">
        <v>310842</v>
      </c>
      <c r="H152" s="84">
        <v>310842</v>
      </c>
      <c r="I152" s="37" t="s">
        <v>516</v>
      </c>
    </row>
    <row r="153" spans="1:9" ht="102" hidden="1" x14ac:dyDescent="0.25">
      <c r="A153" s="31"/>
      <c r="B153" s="66"/>
      <c r="C153" s="84"/>
      <c r="D153" s="84"/>
      <c r="E153" s="84"/>
      <c r="F153" s="84"/>
      <c r="G153" s="84">
        <v>874</v>
      </c>
      <c r="H153" s="84">
        <v>874</v>
      </c>
      <c r="I153" s="37" t="s">
        <v>517</v>
      </c>
    </row>
    <row r="154" spans="1:9" ht="51" x14ac:dyDescent="0.25">
      <c r="A154" s="31"/>
      <c r="B154" s="37" t="s">
        <v>450</v>
      </c>
      <c r="C154" s="36"/>
      <c r="D154" s="36"/>
      <c r="E154" s="45">
        <v>3000000</v>
      </c>
      <c r="F154" s="36"/>
      <c r="G154" s="36"/>
      <c r="H154" s="36"/>
      <c r="I154" s="74" t="s">
        <v>668</v>
      </c>
    </row>
    <row r="155" spans="1:9" ht="51" x14ac:dyDescent="0.25">
      <c r="A155" s="31" t="s">
        <v>186</v>
      </c>
      <c r="B155" s="62" t="s">
        <v>14</v>
      </c>
      <c r="C155" s="81">
        <v>0</v>
      </c>
      <c r="D155" s="81">
        <v>0</v>
      </c>
      <c r="E155" s="81">
        <v>1000000</v>
      </c>
      <c r="F155" s="81">
        <v>0</v>
      </c>
      <c r="G155" s="81">
        <v>175000</v>
      </c>
      <c r="H155" s="81">
        <v>175000</v>
      </c>
      <c r="I155" s="33"/>
    </row>
    <row r="156" spans="1:9" ht="25.5" x14ac:dyDescent="0.25">
      <c r="A156" s="31"/>
      <c r="B156" s="113" t="s">
        <v>163</v>
      </c>
      <c r="C156" s="82">
        <v>0</v>
      </c>
      <c r="D156" s="82">
        <v>0</v>
      </c>
      <c r="E156" s="82">
        <v>1000000</v>
      </c>
      <c r="F156" s="82">
        <v>0</v>
      </c>
      <c r="G156" s="82">
        <v>175000</v>
      </c>
      <c r="H156" s="82">
        <v>175000</v>
      </c>
      <c r="I156" s="37"/>
    </row>
    <row r="157" spans="1:9" ht="127.5" x14ac:dyDescent="0.25">
      <c r="A157" s="83"/>
      <c r="B157" s="66" t="s">
        <v>232</v>
      </c>
      <c r="C157" s="84"/>
      <c r="D157" s="84"/>
      <c r="E157" s="84">
        <v>1000000</v>
      </c>
      <c r="F157" s="84"/>
      <c r="G157" s="84"/>
      <c r="H157" s="84"/>
      <c r="I157" s="37" t="s">
        <v>628</v>
      </c>
    </row>
    <row r="158" spans="1:9" ht="76.5" hidden="1" x14ac:dyDescent="0.25">
      <c r="A158" s="83"/>
      <c r="B158" s="37" t="s">
        <v>232</v>
      </c>
      <c r="C158" s="84"/>
      <c r="D158" s="84"/>
      <c r="E158" s="84"/>
      <c r="F158" s="84"/>
      <c r="G158" s="84">
        <v>175000</v>
      </c>
      <c r="H158" s="84">
        <v>175000</v>
      </c>
      <c r="I158" s="37" t="s">
        <v>233</v>
      </c>
    </row>
    <row r="159" spans="1:9" ht="76.5" x14ac:dyDescent="0.25">
      <c r="A159" s="31" t="s">
        <v>326</v>
      </c>
      <c r="B159" s="62" t="s">
        <v>327</v>
      </c>
      <c r="C159" s="81">
        <v>0</v>
      </c>
      <c r="D159" s="81">
        <v>0</v>
      </c>
      <c r="E159" s="81">
        <v>0</v>
      </c>
      <c r="F159" s="81">
        <v>0</v>
      </c>
      <c r="G159" s="81">
        <v>0</v>
      </c>
      <c r="H159" s="81">
        <v>200000</v>
      </c>
      <c r="I159" s="33"/>
    </row>
    <row r="160" spans="1:9" ht="51" x14ac:dyDescent="0.25">
      <c r="A160" s="85"/>
      <c r="B160" s="115" t="s">
        <v>127</v>
      </c>
      <c r="C160" s="84">
        <v>0</v>
      </c>
      <c r="D160" s="84">
        <v>0</v>
      </c>
      <c r="E160" s="84">
        <v>0</v>
      </c>
      <c r="F160" s="84">
        <v>0</v>
      </c>
      <c r="G160" s="84">
        <v>0</v>
      </c>
      <c r="H160" s="84">
        <v>200000</v>
      </c>
      <c r="I160" s="37"/>
    </row>
    <row r="161" spans="1:9" ht="38.25" hidden="1" x14ac:dyDescent="0.25">
      <c r="A161" s="83"/>
      <c r="B161" s="66"/>
      <c r="C161" s="84"/>
      <c r="D161" s="84"/>
      <c r="E161" s="84"/>
      <c r="F161" s="84"/>
      <c r="G161" s="84"/>
      <c r="H161" s="84">
        <v>200000</v>
      </c>
      <c r="I161" s="47" t="s">
        <v>328</v>
      </c>
    </row>
    <row r="162" spans="1:9" ht="51" x14ac:dyDescent="0.25">
      <c r="A162" s="64" t="s">
        <v>188</v>
      </c>
      <c r="B162" s="55" t="s">
        <v>72</v>
      </c>
      <c r="C162" s="126">
        <v>1806900</v>
      </c>
      <c r="D162" s="126">
        <v>0</v>
      </c>
      <c r="E162" s="126">
        <v>0</v>
      </c>
      <c r="F162" s="126">
        <v>733220</v>
      </c>
      <c r="G162" s="126">
        <v>1465310</v>
      </c>
      <c r="H162" s="126">
        <v>1465310</v>
      </c>
      <c r="I162" s="141"/>
    </row>
    <row r="163" spans="1:9" ht="102" x14ac:dyDescent="0.25">
      <c r="A163" s="34" t="s">
        <v>135</v>
      </c>
      <c r="B163" s="57" t="s">
        <v>101</v>
      </c>
      <c r="C163" s="30">
        <v>0</v>
      </c>
      <c r="D163" s="30">
        <v>0</v>
      </c>
      <c r="E163" s="30">
        <v>0</v>
      </c>
      <c r="F163" s="30">
        <v>733220</v>
      </c>
      <c r="G163" s="30">
        <v>50000</v>
      </c>
      <c r="H163" s="30">
        <v>50000</v>
      </c>
      <c r="I163" s="37"/>
    </row>
    <row r="164" spans="1:9" ht="63.75" x14ac:dyDescent="0.25">
      <c r="A164" s="34"/>
      <c r="B164" s="113" t="s">
        <v>125</v>
      </c>
      <c r="C164" s="36">
        <v>0</v>
      </c>
      <c r="D164" s="36">
        <v>0</v>
      </c>
      <c r="E164" s="36">
        <v>0</v>
      </c>
      <c r="F164" s="36">
        <v>733220</v>
      </c>
      <c r="G164" s="36">
        <v>50000</v>
      </c>
      <c r="H164" s="36">
        <v>50000</v>
      </c>
      <c r="I164" s="37"/>
    </row>
    <row r="165" spans="1:9" ht="38.25" hidden="1" x14ac:dyDescent="0.25">
      <c r="A165" s="34"/>
      <c r="B165" s="301" t="s">
        <v>248</v>
      </c>
      <c r="C165" s="45"/>
      <c r="D165" s="45"/>
      <c r="E165" s="45"/>
      <c r="F165" s="45">
        <v>733220</v>
      </c>
      <c r="G165" s="45"/>
      <c r="H165" s="45"/>
      <c r="I165" s="48" t="s">
        <v>249</v>
      </c>
    </row>
    <row r="166" spans="1:9" ht="63.75" hidden="1" x14ac:dyDescent="0.25">
      <c r="A166" s="34"/>
      <c r="B166" s="302"/>
      <c r="C166" s="45"/>
      <c r="D166" s="45"/>
      <c r="E166" s="45"/>
      <c r="F166" s="45"/>
      <c r="G166" s="45">
        <v>50000</v>
      </c>
      <c r="H166" s="45">
        <v>50000</v>
      </c>
      <c r="I166" s="37" t="s">
        <v>250</v>
      </c>
    </row>
    <row r="167" spans="1:9" ht="76.5" x14ac:dyDescent="0.25">
      <c r="A167" s="34" t="s">
        <v>189</v>
      </c>
      <c r="B167" s="57" t="s">
        <v>73</v>
      </c>
      <c r="C167" s="30">
        <v>1806900</v>
      </c>
      <c r="D167" s="30">
        <v>0</v>
      </c>
      <c r="E167" s="30">
        <v>0</v>
      </c>
      <c r="F167" s="30">
        <v>0</v>
      </c>
      <c r="G167" s="30">
        <v>1415310</v>
      </c>
      <c r="H167" s="30">
        <v>1415310</v>
      </c>
      <c r="I167" s="37"/>
    </row>
    <row r="168" spans="1:9" ht="63.75" x14ac:dyDescent="0.25">
      <c r="A168" s="34"/>
      <c r="B168" s="113" t="s">
        <v>125</v>
      </c>
      <c r="C168" s="36">
        <v>1806900</v>
      </c>
      <c r="D168" s="36">
        <v>0</v>
      </c>
      <c r="E168" s="36">
        <v>0</v>
      </c>
      <c r="F168" s="36">
        <v>0</v>
      </c>
      <c r="G168" s="36">
        <v>1415310</v>
      </c>
      <c r="H168" s="36">
        <v>1415310</v>
      </c>
      <c r="I168" s="56"/>
    </row>
    <row r="169" spans="1:9" ht="153" hidden="1" x14ac:dyDescent="0.25">
      <c r="A169" s="34"/>
      <c r="B169" s="87" t="s">
        <v>277</v>
      </c>
      <c r="C169" s="45">
        <v>1806900</v>
      </c>
      <c r="D169" s="45"/>
      <c r="E169" s="45"/>
      <c r="F169" s="45"/>
      <c r="G169" s="45"/>
      <c r="H169" s="45"/>
      <c r="I169" s="37" t="s">
        <v>637</v>
      </c>
    </row>
    <row r="170" spans="1:9" ht="114.75" hidden="1" x14ac:dyDescent="0.25">
      <c r="A170" s="31"/>
      <c r="B170" s="76" t="s">
        <v>277</v>
      </c>
      <c r="C170" s="45"/>
      <c r="D170" s="45"/>
      <c r="E170" s="45"/>
      <c r="F170" s="45"/>
      <c r="G170" s="45">
        <v>1415310</v>
      </c>
      <c r="H170" s="45">
        <v>1415310</v>
      </c>
      <c r="I170" s="37" t="s">
        <v>552</v>
      </c>
    </row>
    <row r="171" spans="1:9" ht="63.75" x14ac:dyDescent="0.25">
      <c r="A171" s="29" t="s">
        <v>190</v>
      </c>
      <c r="B171" s="46" t="s">
        <v>62</v>
      </c>
      <c r="C171" s="126">
        <v>0</v>
      </c>
      <c r="D171" s="126">
        <v>0</v>
      </c>
      <c r="E171" s="126">
        <v>129000</v>
      </c>
      <c r="F171" s="126">
        <v>55000</v>
      </c>
      <c r="G171" s="126">
        <v>4651000</v>
      </c>
      <c r="H171" s="126">
        <v>4651000</v>
      </c>
      <c r="I171" s="141"/>
    </row>
    <row r="172" spans="1:9" ht="63.75" x14ac:dyDescent="0.25">
      <c r="A172" s="31" t="s">
        <v>191</v>
      </c>
      <c r="B172" s="38" t="s">
        <v>63</v>
      </c>
      <c r="C172" s="39">
        <v>0</v>
      </c>
      <c r="D172" s="39">
        <v>0</v>
      </c>
      <c r="E172" s="39">
        <v>129000</v>
      </c>
      <c r="F172" s="39">
        <v>55000</v>
      </c>
      <c r="G172" s="39">
        <v>4651000</v>
      </c>
      <c r="H172" s="39">
        <v>4651000</v>
      </c>
      <c r="I172" s="37"/>
    </row>
    <row r="173" spans="1:9" ht="63.75" x14ac:dyDescent="0.25">
      <c r="A173" s="88"/>
      <c r="B173" s="113" t="s">
        <v>165</v>
      </c>
      <c r="C173" s="36">
        <v>0</v>
      </c>
      <c r="D173" s="36">
        <v>0</v>
      </c>
      <c r="E173" s="36">
        <v>129000</v>
      </c>
      <c r="F173" s="36">
        <v>55000</v>
      </c>
      <c r="G173" s="36">
        <v>4651000</v>
      </c>
      <c r="H173" s="36">
        <v>4651000</v>
      </c>
      <c r="I173" s="89"/>
    </row>
    <row r="174" spans="1:9" ht="25.5" x14ac:dyDescent="0.25">
      <c r="A174" s="31"/>
      <c r="B174" s="76"/>
      <c r="C174" s="45"/>
      <c r="D174" s="45"/>
      <c r="E174" s="22">
        <v>129000</v>
      </c>
      <c r="F174" s="45"/>
      <c r="G174" s="45"/>
      <c r="H174" s="45"/>
      <c r="I174" s="37" t="s">
        <v>446</v>
      </c>
    </row>
    <row r="175" spans="1:9" ht="38.25" hidden="1" x14ac:dyDescent="0.25">
      <c r="A175" s="31"/>
      <c r="B175" s="76"/>
      <c r="C175" s="45"/>
      <c r="D175" s="45"/>
      <c r="E175" s="45"/>
      <c r="F175" s="45"/>
      <c r="G175" s="45">
        <v>105000</v>
      </c>
      <c r="H175" s="45">
        <v>105000</v>
      </c>
      <c r="I175" s="37" t="s">
        <v>519</v>
      </c>
    </row>
    <row r="176" spans="1:9" ht="51" hidden="1" x14ac:dyDescent="0.25">
      <c r="A176" s="31"/>
      <c r="B176" s="76"/>
      <c r="C176" s="45"/>
      <c r="D176" s="45"/>
      <c r="E176" s="45"/>
      <c r="F176" s="45"/>
      <c r="G176" s="45">
        <v>940600</v>
      </c>
      <c r="H176" s="45">
        <v>930000</v>
      </c>
      <c r="I176" s="37" t="s">
        <v>520</v>
      </c>
    </row>
    <row r="177" spans="1:9" ht="38.25" hidden="1" x14ac:dyDescent="0.25">
      <c r="A177" s="31"/>
      <c r="B177" s="76"/>
      <c r="C177" s="45"/>
      <c r="D177" s="45"/>
      <c r="E177" s="45"/>
      <c r="F177" s="45"/>
      <c r="G177" s="45">
        <v>125400</v>
      </c>
      <c r="H177" s="45">
        <v>136000</v>
      </c>
      <c r="I177" s="37" t="s">
        <v>521</v>
      </c>
    </row>
    <row r="178" spans="1:9" ht="38.25" hidden="1" x14ac:dyDescent="0.25">
      <c r="A178" s="31"/>
      <c r="B178" s="76"/>
      <c r="C178" s="45"/>
      <c r="D178" s="45"/>
      <c r="E178" s="45"/>
      <c r="F178" s="45"/>
      <c r="G178" s="45">
        <v>1180000</v>
      </c>
      <c r="H178" s="45">
        <v>1180000</v>
      </c>
      <c r="I178" s="37" t="s">
        <v>522</v>
      </c>
    </row>
    <row r="179" spans="1:9" ht="38.25" hidden="1" x14ac:dyDescent="0.25">
      <c r="A179" s="31"/>
      <c r="B179" s="74"/>
      <c r="C179" s="49"/>
      <c r="D179" s="49"/>
      <c r="E179" s="45"/>
      <c r="F179" s="45"/>
      <c r="G179" s="45">
        <v>2300000</v>
      </c>
      <c r="H179" s="45">
        <v>2300000</v>
      </c>
      <c r="I179" s="37" t="s">
        <v>603</v>
      </c>
    </row>
    <row r="180" spans="1:9" ht="89.25" hidden="1" x14ac:dyDescent="0.25">
      <c r="A180" s="31"/>
      <c r="B180" s="74"/>
      <c r="C180" s="49"/>
      <c r="D180" s="49"/>
      <c r="E180" s="45"/>
      <c r="F180" s="45"/>
      <c r="G180" s="45"/>
      <c r="H180" s="45"/>
      <c r="I180" s="32" t="s">
        <v>645</v>
      </c>
    </row>
    <row r="181" spans="1:9" ht="38.25" hidden="1" x14ac:dyDescent="0.25">
      <c r="A181" s="31"/>
      <c r="B181" s="74"/>
      <c r="C181" s="49"/>
      <c r="D181" s="49"/>
      <c r="E181" s="45"/>
      <c r="F181" s="45">
        <v>55000</v>
      </c>
      <c r="G181" s="45"/>
      <c r="H181" s="45"/>
      <c r="I181" s="74" t="s">
        <v>625</v>
      </c>
    </row>
    <row r="182" spans="1:9" ht="89.25" x14ac:dyDescent="0.25">
      <c r="A182" s="29" t="s">
        <v>193</v>
      </c>
      <c r="B182" s="46" t="s">
        <v>15</v>
      </c>
      <c r="C182" s="145">
        <v>0</v>
      </c>
      <c r="D182" s="145">
        <v>0</v>
      </c>
      <c r="E182" s="145">
        <v>350789840</v>
      </c>
      <c r="F182" s="145">
        <v>1602007</v>
      </c>
      <c r="G182" s="145">
        <v>13467927</v>
      </c>
      <c r="H182" s="145">
        <v>13467927</v>
      </c>
      <c r="I182" s="141"/>
    </row>
    <row r="183" spans="1:9" ht="76.5" x14ac:dyDescent="0.25">
      <c r="A183" s="31" t="s">
        <v>194</v>
      </c>
      <c r="B183" s="32" t="s">
        <v>136</v>
      </c>
      <c r="C183" s="91">
        <v>0</v>
      </c>
      <c r="D183" s="91">
        <v>0</v>
      </c>
      <c r="E183" s="91">
        <v>0</v>
      </c>
      <c r="F183" s="91">
        <v>0</v>
      </c>
      <c r="G183" s="91">
        <v>2143927</v>
      </c>
      <c r="H183" s="91">
        <v>2143927</v>
      </c>
      <c r="I183" s="33"/>
    </row>
    <row r="184" spans="1:9" ht="89.25" x14ac:dyDescent="0.25">
      <c r="A184" s="31"/>
      <c r="B184" s="113" t="s">
        <v>164</v>
      </c>
      <c r="C184" s="36">
        <v>0</v>
      </c>
      <c r="D184" s="36">
        <v>0</v>
      </c>
      <c r="E184" s="36">
        <v>0</v>
      </c>
      <c r="F184" s="36">
        <v>0</v>
      </c>
      <c r="G184" s="36">
        <v>2143927</v>
      </c>
      <c r="H184" s="36">
        <v>2143927</v>
      </c>
      <c r="I184" s="56"/>
    </row>
    <row r="185" spans="1:9" ht="89.25" hidden="1" x14ac:dyDescent="0.25">
      <c r="A185" s="31"/>
      <c r="B185" s="129" t="s">
        <v>278</v>
      </c>
      <c r="C185" s="45"/>
      <c r="D185" s="45"/>
      <c r="E185" s="45"/>
      <c r="F185" s="45"/>
      <c r="G185" s="110">
        <v>2143927</v>
      </c>
      <c r="H185" s="110">
        <v>2143927</v>
      </c>
      <c r="I185" s="43" t="s">
        <v>279</v>
      </c>
    </row>
    <row r="186" spans="1:9" ht="89.25" x14ac:dyDescent="0.25">
      <c r="A186" s="31" t="s">
        <v>195</v>
      </c>
      <c r="B186" s="57" t="s">
        <v>76</v>
      </c>
      <c r="C186" s="92">
        <v>0</v>
      </c>
      <c r="D186" s="92">
        <v>0</v>
      </c>
      <c r="E186" s="92">
        <v>350789840</v>
      </c>
      <c r="F186" s="92">
        <v>171207</v>
      </c>
      <c r="G186" s="92">
        <v>0</v>
      </c>
      <c r="H186" s="92">
        <v>0</v>
      </c>
      <c r="I186" s="37"/>
    </row>
    <row r="187" spans="1:9" ht="51" x14ac:dyDescent="0.25">
      <c r="A187" s="31"/>
      <c r="B187" s="113" t="s">
        <v>34</v>
      </c>
      <c r="C187" s="36">
        <v>0</v>
      </c>
      <c r="D187" s="36">
        <v>0</v>
      </c>
      <c r="E187" s="36">
        <v>350789840</v>
      </c>
      <c r="F187" s="36">
        <v>171207</v>
      </c>
      <c r="G187" s="36">
        <v>0</v>
      </c>
      <c r="H187" s="36">
        <v>0</v>
      </c>
      <c r="I187" s="37"/>
    </row>
    <row r="188" spans="1:9" ht="51" x14ac:dyDescent="0.25">
      <c r="A188" s="31"/>
      <c r="B188" s="37" t="s">
        <v>293</v>
      </c>
      <c r="C188" s="45"/>
      <c r="D188" s="45"/>
      <c r="E188" s="27">
        <v>334368400</v>
      </c>
      <c r="F188" s="93"/>
      <c r="G188" s="93"/>
      <c r="H188" s="93"/>
      <c r="I188" s="37" t="s">
        <v>638</v>
      </c>
    </row>
    <row r="189" spans="1:9" ht="102" x14ac:dyDescent="0.25">
      <c r="A189" s="31"/>
      <c r="B189" s="37" t="s">
        <v>294</v>
      </c>
      <c r="C189" s="45"/>
      <c r="D189" s="45"/>
      <c r="E189" s="93">
        <v>1421440</v>
      </c>
      <c r="F189" s="93">
        <v>171207</v>
      </c>
      <c r="G189" s="93"/>
      <c r="H189" s="93"/>
      <c r="I189" s="43" t="s">
        <v>624</v>
      </c>
    </row>
    <row r="190" spans="1:9" ht="204" x14ac:dyDescent="0.25">
      <c r="A190" s="31"/>
      <c r="B190" s="48" t="s">
        <v>295</v>
      </c>
      <c r="C190" s="45"/>
      <c r="D190" s="45"/>
      <c r="E190" s="27">
        <v>15000000</v>
      </c>
      <c r="F190" s="93"/>
      <c r="G190" s="93"/>
      <c r="H190" s="93"/>
      <c r="I190" s="37" t="s">
        <v>617</v>
      </c>
    </row>
    <row r="191" spans="1:9" ht="127.5" x14ac:dyDescent="0.25">
      <c r="A191" s="31" t="s">
        <v>196</v>
      </c>
      <c r="B191" s="32" t="s">
        <v>144</v>
      </c>
      <c r="C191" s="90">
        <v>0</v>
      </c>
      <c r="D191" s="90">
        <v>0</v>
      </c>
      <c r="E191" s="90">
        <v>0</v>
      </c>
      <c r="F191" s="90">
        <v>1430800</v>
      </c>
      <c r="G191" s="90">
        <v>11324000</v>
      </c>
      <c r="H191" s="90">
        <v>11324000</v>
      </c>
      <c r="I191" s="43"/>
    </row>
    <row r="192" spans="1:9" ht="89.25" x14ac:dyDescent="0.25">
      <c r="A192" s="31"/>
      <c r="B192" s="113" t="s">
        <v>164</v>
      </c>
      <c r="C192" s="36">
        <v>0</v>
      </c>
      <c r="D192" s="36">
        <v>0</v>
      </c>
      <c r="E192" s="36">
        <v>0</v>
      </c>
      <c r="F192" s="36">
        <v>1430800</v>
      </c>
      <c r="G192" s="36">
        <v>11324000</v>
      </c>
      <c r="H192" s="36">
        <v>11324000</v>
      </c>
      <c r="I192" s="56"/>
    </row>
    <row r="193" spans="1:9" ht="89.25" hidden="1" x14ac:dyDescent="0.25">
      <c r="A193" s="31"/>
      <c r="B193" s="37" t="s">
        <v>280</v>
      </c>
      <c r="C193" s="84"/>
      <c r="D193" s="84"/>
      <c r="E193" s="84"/>
      <c r="F193" s="84"/>
      <c r="G193" s="84">
        <v>983500</v>
      </c>
      <c r="H193" s="84"/>
      <c r="I193" s="43" t="s">
        <v>613</v>
      </c>
    </row>
    <row r="194" spans="1:9" ht="140.25" hidden="1" x14ac:dyDescent="0.25">
      <c r="A194" s="31"/>
      <c r="B194" s="37" t="s">
        <v>281</v>
      </c>
      <c r="C194" s="84"/>
      <c r="D194" s="84"/>
      <c r="E194" s="84"/>
      <c r="F194" s="84">
        <v>1430800</v>
      </c>
      <c r="G194" s="84">
        <v>10340500</v>
      </c>
      <c r="H194" s="84">
        <v>11324000</v>
      </c>
      <c r="I194" s="43" t="s">
        <v>647</v>
      </c>
    </row>
    <row r="195" spans="1:9" ht="89.25" x14ac:dyDescent="0.25">
      <c r="A195" s="29" t="s">
        <v>197</v>
      </c>
      <c r="B195" s="80" t="s">
        <v>16</v>
      </c>
      <c r="C195" s="143">
        <v>66346900</v>
      </c>
      <c r="D195" s="143">
        <v>0</v>
      </c>
      <c r="E195" s="143">
        <v>16999</v>
      </c>
      <c r="F195" s="143">
        <v>50559</v>
      </c>
      <c r="G195" s="143">
        <v>35611216</v>
      </c>
      <c r="H195" s="143">
        <v>35611216</v>
      </c>
      <c r="I195" s="144"/>
    </row>
    <row r="196" spans="1:9" ht="76.5" x14ac:dyDescent="0.25">
      <c r="A196" s="31" t="s">
        <v>18</v>
      </c>
      <c r="B196" s="62" t="s">
        <v>138</v>
      </c>
      <c r="C196" s="81">
        <v>66346900</v>
      </c>
      <c r="D196" s="81">
        <v>0</v>
      </c>
      <c r="E196" s="81">
        <v>0</v>
      </c>
      <c r="F196" s="81">
        <v>50559</v>
      </c>
      <c r="G196" s="81">
        <v>35609011</v>
      </c>
      <c r="H196" s="81">
        <v>35609011</v>
      </c>
      <c r="I196" s="40"/>
    </row>
    <row r="197" spans="1:9" ht="38.25" x14ac:dyDescent="0.25">
      <c r="A197" s="31"/>
      <c r="B197" s="115" t="s">
        <v>148</v>
      </c>
      <c r="C197" s="82">
        <v>66346900</v>
      </c>
      <c r="D197" s="82">
        <v>0</v>
      </c>
      <c r="E197" s="82">
        <v>0</v>
      </c>
      <c r="F197" s="82">
        <v>50559</v>
      </c>
      <c r="G197" s="82">
        <v>35609011</v>
      </c>
      <c r="H197" s="82">
        <v>35609011</v>
      </c>
      <c r="I197" s="40"/>
    </row>
    <row r="198" spans="1:9" ht="63.75" hidden="1" x14ac:dyDescent="0.25">
      <c r="A198" s="31"/>
      <c r="B198" s="37" t="s">
        <v>236</v>
      </c>
      <c r="C198" s="84">
        <v>66346900</v>
      </c>
      <c r="D198" s="82"/>
      <c r="E198" s="82"/>
      <c r="F198" s="82"/>
      <c r="G198" s="82"/>
      <c r="H198" s="82"/>
      <c r="I198" s="37" t="s">
        <v>553</v>
      </c>
    </row>
    <row r="199" spans="1:9" ht="76.5" hidden="1" x14ac:dyDescent="0.25">
      <c r="A199" s="83"/>
      <c r="B199" s="37" t="s">
        <v>232</v>
      </c>
      <c r="C199" s="84"/>
      <c r="D199" s="84"/>
      <c r="E199" s="84"/>
      <c r="F199" s="84">
        <v>50000</v>
      </c>
      <c r="G199" s="4">
        <v>400000</v>
      </c>
      <c r="H199" s="4">
        <v>400000</v>
      </c>
      <c r="I199" s="148" t="s">
        <v>629</v>
      </c>
    </row>
    <row r="200" spans="1:9" ht="127.5" hidden="1" x14ac:dyDescent="0.25">
      <c r="A200" s="83"/>
      <c r="B200" s="37" t="s">
        <v>369</v>
      </c>
      <c r="C200" s="84"/>
      <c r="D200" s="84"/>
      <c r="E200" s="84"/>
      <c r="F200" s="84"/>
      <c r="G200" s="84">
        <v>8109570</v>
      </c>
      <c r="H200" s="84">
        <v>8109570</v>
      </c>
      <c r="I200" s="37" t="s">
        <v>612</v>
      </c>
    </row>
    <row r="201" spans="1:9" ht="63.75" hidden="1" x14ac:dyDescent="0.25">
      <c r="A201" s="31"/>
      <c r="B201" s="37" t="s">
        <v>236</v>
      </c>
      <c r="C201" s="84"/>
      <c r="D201" s="84"/>
      <c r="E201" s="84"/>
      <c r="F201" s="84"/>
      <c r="G201" s="84"/>
      <c r="H201" s="84">
        <v>2</v>
      </c>
      <c r="I201" s="37" t="s">
        <v>237</v>
      </c>
    </row>
    <row r="202" spans="1:9" ht="76.5" hidden="1" x14ac:dyDescent="0.25">
      <c r="A202" s="31"/>
      <c r="B202" s="74" t="s">
        <v>238</v>
      </c>
      <c r="C202" s="84"/>
      <c r="D202" s="84"/>
      <c r="E202" s="84"/>
      <c r="F202" s="84"/>
      <c r="G202" s="84">
        <v>2</v>
      </c>
      <c r="H202" s="84"/>
      <c r="I202" s="37" t="s">
        <v>237</v>
      </c>
    </row>
    <row r="203" spans="1:9" ht="89.25" hidden="1" x14ac:dyDescent="0.25">
      <c r="A203" s="31"/>
      <c r="B203" s="43" t="s">
        <v>236</v>
      </c>
      <c r="C203" s="84"/>
      <c r="D203" s="84"/>
      <c r="E203" s="84"/>
      <c r="F203" s="84">
        <v>559</v>
      </c>
      <c r="G203" s="84">
        <v>27099439</v>
      </c>
      <c r="H203" s="84">
        <v>27099439</v>
      </c>
      <c r="I203" s="40" t="s">
        <v>239</v>
      </c>
    </row>
    <row r="204" spans="1:9" ht="76.5" x14ac:dyDescent="0.25">
      <c r="A204" s="31" t="s">
        <v>199</v>
      </c>
      <c r="B204" s="32" t="s">
        <v>19</v>
      </c>
      <c r="C204" s="90">
        <v>0</v>
      </c>
      <c r="D204" s="90">
        <v>0</v>
      </c>
      <c r="E204" s="90">
        <v>16999</v>
      </c>
      <c r="F204" s="90">
        <v>0</v>
      </c>
      <c r="G204" s="90">
        <v>2205</v>
      </c>
      <c r="H204" s="90">
        <v>2205</v>
      </c>
      <c r="I204" s="33"/>
    </row>
    <row r="205" spans="1:9" ht="38.25" x14ac:dyDescent="0.25">
      <c r="A205" s="31"/>
      <c r="B205" s="115" t="s">
        <v>148</v>
      </c>
      <c r="C205" s="82">
        <v>0</v>
      </c>
      <c r="D205" s="82">
        <v>0</v>
      </c>
      <c r="E205" s="82">
        <v>16999</v>
      </c>
      <c r="F205" s="82">
        <v>0</v>
      </c>
      <c r="G205" s="82">
        <v>2205</v>
      </c>
      <c r="H205" s="82">
        <v>2205</v>
      </c>
      <c r="I205" s="33"/>
    </row>
    <row r="206" spans="1:9" ht="76.5" hidden="1" x14ac:dyDescent="0.25">
      <c r="A206" s="31"/>
      <c r="B206" s="37" t="s">
        <v>232</v>
      </c>
      <c r="C206" s="84"/>
      <c r="D206" s="84"/>
      <c r="E206" s="45"/>
      <c r="F206" s="45"/>
      <c r="G206" s="45"/>
      <c r="H206" s="45">
        <v>2205</v>
      </c>
      <c r="I206" s="37" t="s">
        <v>240</v>
      </c>
    </row>
    <row r="207" spans="1:9" ht="25.5" hidden="1" x14ac:dyDescent="0.25">
      <c r="A207" s="31"/>
      <c r="B207" s="37" t="s">
        <v>241</v>
      </c>
      <c r="C207" s="84"/>
      <c r="D207" s="84"/>
      <c r="E207" s="45"/>
      <c r="F207" s="45"/>
      <c r="G207" s="45">
        <v>2205</v>
      </c>
      <c r="H207" s="45"/>
      <c r="I207" s="43"/>
    </row>
    <row r="208" spans="1:9" ht="89.25" x14ac:dyDescent="0.25">
      <c r="A208" s="31"/>
      <c r="B208" s="121" t="s">
        <v>232</v>
      </c>
      <c r="C208" s="84"/>
      <c r="D208" s="84"/>
      <c r="E208" s="45">
        <v>16999</v>
      </c>
      <c r="F208" s="45"/>
      <c r="G208" s="135"/>
      <c r="H208" s="45"/>
      <c r="I208" s="43" t="s">
        <v>605</v>
      </c>
    </row>
    <row r="209" spans="1:9" ht="89.25" x14ac:dyDescent="0.25">
      <c r="A209" s="29" t="s">
        <v>86</v>
      </c>
      <c r="B209" s="80" t="s">
        <v>82</v>
      </c>
      <c r="C209" s="126">
        <v>0</v>
      </c>
      <c r="D209" s="126">
        <v>0</v>
      </c>
      <c r="E209" s="126">
        <v>0</v>
      </c>
      <c r="F209" s="126">
        <v>4320650</v>
      </c>
      <c r="G209" s="126">
        <v>0</v>
      </c>
      <c r="H209" s="126">
        <v>0</v>
      </c>
      <c r="I209" s="141"/>
    </row>
    <row r="210" spans="1:9" ht="89.25" x14ac:dyDescent="0.25">
      <c r="A210" s="31" t="s">
        <v>147</v>
      </c>
      <c r="B210" s="32" t="s">
        <v>83</v>
      </c>
      <c r="C210" s="30">
        <v>0</v>
      </c>
      <c r="D210" s="30">
        <v>0</v>
      </c>
      <c r="E210" s="30">
        <v>0</v>
      </c>
      <c r="F210" s="30">
        <v>4320650</v>
      </c>
      <c r="G210" s="30">
        <v>0</v>
      </c>
      <c r="H210" s="30">
        <v>0</v>
      </c>
      <c r="I210" s="43"/>
    </row>
    <row r="211" spans="1:9" ht="38.25" x14ac:dyDescent="0.25">
      <c r="A211" s="95"/>
      <c r="B211" s="115" t="s">
        <v>148</v>
      </c>
      <c r="C211" s="36">
        <v>0</v>
      </c>
      <c r="D211" s="36">
        <v>0</v>
      </c>
      <c r="E211" s="36">
        <v>0</v>
      </c>
      <c r="F211" s="36">
        <v>4320650</v>
      </c>
      <c r="G211" s="36">
        <v>0</v>
      </c>
      <c r="H211" s="36">
        <v>0</v>
      </c>
      <c r="I211" s="43"/>
    </row>
    <row r="212" spans="1:9" ht="89.25" hidden="1" x14ac:dyDescent="0.25">
      <c r="A212" s="95"/>
      <c r="B212" s="43" t="s">
        <v>241</v>
      </c>
      <c r="C212" s="36"/>
      <c r="D212" s="36"/>
      <c r="E212" s="45"/>
      <c r="F212" s="45">
        <v>2797043</v>
      </c>
      <c r="G212" s="36"/>
      <c r="H212" s="36"/>
      <c r="I212" s="37" t="s">
        <v>606</v>
      </c>
    </row>
    <row r="213" spans="1:9" ht="76.5" hidden="1" x14ac:dyDescent="0.25">
      <c r="A213" s="95"/>
      <c r="B213" s="37" t="s">
        <v>232</v>
      </c>
      <c r="C213" s="36"/>
      <c r="D213" s="36"/>
      <c r="E213" s="45"/>
      <c r="F213" s="45">
        <v>1523607</v>
      </c>
      <c r="G213" s="36"/>
      <c r="H213" s="36"/>
      <c r="I213" s="43" t="s">
        <v>242</v>
      </c>
    </row>
    <row r="214" spans="1:9" ht="76.5" x14ac:dyDescent="0.25">
      <c r="A214" s="29" t="s">
        <v>200</v>
      </c>
      <c r="B214" s="80" t="s">
        <v>84</v>
      </c>
      <c r="C214" s="126">
        <v>0</v>
      </c>
      <c r="D214" s="126">
        <v>0</v>
      </c>
      <c r="E214" s="126">
        <v>0</v>
      </c>
      <c r="F214" s="126">
        <v>0</v>
      </c>
      <c r="G214" s="126">
        <v>0</v>
      </c>
      <c r="H214" s="126">
        <v>65000</v>
      </c>
      <c r="I214" s="142"/>
    </row>
    <row r="215" spans="1:9" ht="76.5" x14ac:dyDescent="0.25">
      <c r="A215" s="31" t="s">
        <v>65</v>
      </c>
      <c r="B215" s="57" t="s">
        <v>38</v>
      </c>
      <c r="C215" s="30">
        <v>0</v>
      </c>
      <c r="D215" s="30">
        <v>0</v>
      </c>
      <c r="E215" s="30">
        <v>0</v>
      </c>
      <c r="F215" s="30">
        <v>0</v>
      </c>
      <c r="G215" s="30">
        <v>0</v>
      </c>
      <c r="H215" s="30">
        <v>65000</v>
      </c>
      <c r="I215" s="43"/>
    </row>
    <row r="216" spans="1:9" ht="38.25" x14ac:dyDescent="0.25">
      <c r="A216" s="96"/>
      <c r="B216" s="114" t="s">
        <v>81</v>
      </c>
      <c r="C216" s="36">
        <v>0</v>
      </c>
      <c r="D216" s="36">
        <v>0</v>
      </c>
      <c r="E216" s="36">
        <v>0</v>
      </c>
      <c r="F216" s="36">
        <v>0</v>
      </c>
      <c r="G216" s="36">
        <v>0</v>
      </c>
      <c r="H216" s="36">
        <v>65000</v>
      </c>
      <c r="I216" s="43"/>
    </row>
    <row r="217" spans="1:9" ht="38.25" hidden="1" x14ac:dyDescent="0.25">
      <c r="A217" s="96"/>
      <c r="B217" s="58"/>
      <c r="C217" s="45"/>
      <c r="D217" s="45"/>
      <c r="E217" s="45"/>
      <c r="F217" s="45"/>
      <c r="G217" s="45"/>
      <c r="H217" s="45">
        <v>65000</v>
      </c>
      <c r="I217" s="37" t="s">
        <v>554</v>
      </c>
    </row>
    <row r="218" spans="1:9" ht="63.75" x14ac:dyDescent="0.25">
      <c r="A218" s="29" t="s">
        <v>85</v>
      </c>
      <c r="B218" s="46" t="s">
        <v>37</v>
      </c>
      <c r="C218" s="126">
        <v>0</v>
      </c>
      <c r="D218" s="126">
        <v>0</v>
      </c>
      <c r="E218" s="126">
        <v>14083259</v>
      </c>
      <c r="F218" s="126">
        <v>0</v>
      </c>
      <c r="G218" s="126">
        <v>22615750</v>
      </c>
      <c r="H218" s="126">
        <v>22615750</v>
      </c>
      <c r="I218" s="127"/>
    </row>
    <row r="219" spans="1:9" ht="63.75" x14ac:dyDescent="0.25">
      <c r="A219" s="31" t="s">
        <v>201</v>
      </c>
      <c r="B219" s="32" t="s">
        <v>39</v>
      </c>
      <c r="C219" s="30">
        <v>0</v>
      </c>
      <c r="D219" s="30">
        <v>0</v>
      </c>
      <c r="E219" s="30">
        <v>14083259</v>
      </c>
      <c r="F219" s="30">
        <v>0</v>
      </c>
      <c r="G219" s="30">
        <v>615750</v>
      </c>
      <c r="H219" s="30">
        <v>22615750</v>
      </c>
      <c r="I219" s="37"/>
    </row>
    <row r="220" spans="1:9" ht="38.25" x14ac:dyDescent="0.25">
      <c r="A220" s="31"/>
      <c r="B220" s="114" t="s">
        <v>35</v>
      </c>
      <c r="C220" s="36">
        <v>0</v>
      </c>
      <c r="D220" s="36">
        <v>0</v>
      </c>
      <c r="E220" s="36">
        <v>14083259</v>
      </c>
      <c r="F220" s="36">
        <v>0</v>
      </c>
      <c r="G220" s="36">
        <v>615750</v>
      </c>
      <c r="H220" s="36">
        <v>22615750</v>
      </c>
      <c r="I220" s="37"/>
    </row>
    <row r="221" spans="1:9" ht="89.25" hidden="1" x14ac:dyDescent="0.25">
      <c r="A221" s="31"/>
      <c r="B221" s="79"/>
      <c r="C221" s="45"/>
      <c r="D221" s="45"/>
      <c r="E221" s="45"/>
      <c r="F221" s="45"/>
      <c r="G221" s="45"/>
      <c r="H221" s="45">
        <v>4000000</v>
      </c>
      <c r="I221" s="37" t="s">
        <v>555</v>
      </c>
    </row>
    <row r="222" spans="1:9" ht="89.25" hidden="1" x14ac:dyDescent="0.25">
      <c r="A222" s="31"/>
      <c r="B222" s="66"/>
      <c r="C222" s="45"/>
      <c r="D222" s="45"/>
      <c r="E222" s="45"/>
      <c r="F222" s="45"/>
      <c r="G222" s="45"/>
      <c r="H222" s="45">
        <v>18000000</v>
      </c>
      <c r="I222" s="37" t="s">
        <v>655</v>
      </c>
    </row>
    <row r="223" spans="1:9" ht="51" x14ac:dyDescent="0.25">
      <c r="A223" s="31"/>
      <c r="B223" s="79"/>
      <c r="C223" s="45"/>
      <c r="D223" s="45"/>
      <c r="E223" s="22">
        <v>11300000</v>
      </c>
      <c r="F223" s="45"/>
      <c r="G223" s="45"/>
      <c r="H223" s="45"/>
      <c r="I223" s="37" t="s">
        <v>656</v>
      </c>
    </row>
    <row r="224" spans="1:9" ht="63.75" x14ac:dyDescent="0.25">
      <c r="A224" s="31"/>
      <c r="B224" s="66"/>
      <c r="C224" s="45"/>
      <c r="D224" s="45"/>
      <c r="E224" s="22">
        <v>211575</v>
      </c>
      <c r="F224" s="45"/>
      <c r="G224" s="36"/>
      <c r="H224" s="36"/>
      <c r="I224" s="37" t="s">
        <v>657</v>
      </c>
    </row>
    <row r="225" spans="1:9" ht="102" x14ac:dyDescent="0.25">
      <c r="A225" s="31"/>
      <c r="B225" s="66"/>
      <c r="C225" s="45"/>
      <c r="D225" s="45"/>
      <c r="E225" s="45">
        <v>2571684</v>
      </c>
      <c r="F225" s="45"/>
      <c r="G225" s="36"/>
      <c r="H225" s="36"/>
      <c r="I225" s="37" t="s">
        <v>556</v>
      </c>
    </row>
    <row r="226" spans="1:9" ht="140.25" hidden="1" x14ac:dyDescent="0.25">
      <c r="A226" s="31"/>
      <c r="B226" s="66"/>
      <c r="C226" s="45"/>
      <c r="D226" s="45"/>
      <c r="E226" s="45"/>
      <c r="F226" s="45"/>
      <c r="G226" s="45">
        <v>615750</v>
      </c>
      <c r="H226" s="45">
        <v>615750</v>
      </c>
      <c r="I226" s="37" t="s">
        <v>557</v>
      </c>
    </row>
    <row r="227" spans="1:9" ht="51" hidden="1" x14ac:dyDescent="0.25">
      <c r="A227" s="31"/>
      <c r="B227" s="66"/>
      <c r="C227" s="45"/>
      <c r="D227" s="45"/>
      <c r="E227" s="45"/>
      <c r="F227" s="45"/>
      <c r="G227" s="36"/>
      <c r="H227" s="36"/>
      <c r="I227" s="37" t="s">
        <v>558</v>
      </c>
    </row>
    <row r="228" spans="1:9" ht="140.25" hidden="1" x14ac:dyDescent="0.25">
      <c r="A228" s="31"/>
      <c r="B228" s="66"/>
      <c r="C228" s="45"/>
      <c r="D228" s="45"/>
      <c r="E228" s="45"/>
      <c r="F228" s="45"/>
      <c r="G228" s="36"/>
      <c r="H228" s="36"/>
      <c r="I228" s="32" t="s">
        <v>559</v>
      </c>
    </row>
    <row r="229" spans="1:9" ht="63.75" x14ac:dyDescent="0.25">
      <c r="A229" s="31" t="s">
        <v>202</v>
      </c>
      <c r="B229" s="97" t="s">
        <v>66</v>
      </c>
      <c r="C229" s="30">
        <v>0</v>
      </c>
      <c r="D229" s="30">
        <v>0</v>
      </c>
      <c r="E229" s="30">
        <v>0</v>
      </c>
      <c r="F229" s="30">
        <v>0</v>
      </c>
      <c r="G229" s="30">
        <v>22000000</v>
      </c>
      <c r="H229" s="30">
        <v>0</v>
      </c>
      <c r="I229" s="98"/>
    </row>
    <row r="230" spans="1:9" ht="38.25" x14ac:dyDescent="0.25">
      <c r="A230" s="31"/>
      <c r="B230" s="114" t="s">
        <v>35</v>
      </c>
      <c r="C230" s="36">
        <v>0</v>
      </c>
      <c r="D230" s="36">
        <v>0</v>
      </c>
      <c r="E230" s="36">
        <v>0</v>
      </c>
      <c r="F230" s="36">
        <v>0</v>
      </c>
      <c r="G230" s="36">
        <v>22000000</v>
      </c>
      <c r="H230" s="36">
        <v>0</v>
      </c>
      <c r="I230" s="56"/>
    </row>
    <row r="231" spans="1:9" ht="63.75" hidden="1" x14ac:dyDescent="0.25">
      <c r="A231" s="31"/>
      <c r="B231" s="58"/>
      <c r="C231" s="36"/>
      <c r="D231" s="36"/>
      <c r="E231" s="36"/>
      <c r="F231" s="36"/>
      <c r="G231" s="45">
        <v>18000000</v>
      </c>
      <c r="H231" s="45"/>
      <c r="I231" s="43" t="s">
        <v>658</v>
      </c>
    </row>
    <row r="232" spans="1:9" ht="102" hidden="1" x14ac:dyDescent="0.25">
      <c r="A232" s="31"/>
      <c r="B232" s="58"/>
      <c r="C232" s="36"/>
      <c r="D232" s="36"/>
      <c r="E232" s="36"/>
      <c r="F232" s="36"/>
      <c r="G232" s="45">
        <v>4000000</v>
      </c>
      <c r="H232" s="36"/>
      <c r="I232" s="43" t="s">
        <v>659</v>
      </c>
    </row>
    <row r="233" spans="1:9" ht="153" hidden="1" x14ac:dyDescent="0.25">
      <c r="A233" s="31"/>
      <c r="B233" s="58"/>
      <c r="C233" s="36"/>
      <c r="D233" s="36"/>
      <c r="E233" s="36"/>
      <c r="F233" s="36"/>
      <c r="G233" s="36"/>
      <c r="H233" s="36"/>
      <c r="I233" s="153" t="s">
        <v>560</v>
      </c>
    </row>
    <row r="234" spans="1:9" ht="63.75" x14ac:dyDescent="0.25">
      <c r="A234" s="29" t="s">
        <v>203</v>
      </c>
      <c r="B234" s="80" t="s">
        <v>77</v>
      </c>
      <c r="C234" s="126">
        <v>0</v>
      </c>
      <c r="D234" s="126">
        <v>0</v>
      </c>
      <c r="E234" s="126">
        <v>301082415</v>
      </c>
      <c r="F234" s="126">
        <v>2276000</v>
      </c>
      <c r="G234" s="126">
        <v>215716157</v>
      </c>
      <c r="H234" s="126">
        <v>215716157</v>
      </c>
      <c r="I234" s="141"/>
    </row>
    <row r="235" spans="1:9" ht="76.5" x14ac:dyDescent="0.25">
      <c r="A235" s="31" t="s">
        <v>204</v>
      </c>
      <c r="B235" s="62" t="s">
        <v>107</v>
      </c>
      <c r="C235" s="30">
        <v>0</v>
      </c>
      <c r="D235" s="30">
        <v>0</v>
      </c>
      <c r="E235" s="30">
        <v>0</v>
      </c>
      <c r="F235" s="30">
        <v>0</v>
      </c>
      <c r="G235" s="30">
        <v>214765000</v>
      </c>
      <c r="H235" s="30">
        <v>204265000</v>
      </c>
      <c r="I235" s="37"/>
    </row>
    <row r="236" spans="1:9" ht="38.25" x14ac:dyDescent="0.25">
      <c r="A236" s="31"/>
      <c r="B236" s="116" t="s">
        <v>243</v>
      </c>
      <c r="C236" s="36">
        <v>0</v>
      </c>
      <c r="D236" s="36">
        <v>0</v>
      </c>
      <c r="E236" s="45">
        <v>0</v>
      </c>
      <c r="F236" s="36">
        <v>0</v>
      </c>
      <c r="G236" s="36">
        <v>214765000</v>
      </c>
      <c r="H236" s="36">
        <v>204265000</v>
      </c>
      <c r="I236" s="37"/>
    </row>
    <row r="237" spans="1:9" ht="102" hidden="1" x14ac:dyDescent="0.25">
      <c r="A237" s="31"/>
      <c r="B237" s="122" t="s">
        <v>244</v>
      </c>
      <c r="C237" s="36"/>
      <c r="D237" s="36"/>
      <c r="E237" s="45"/>
      <c r="F237" s="36"/>
      <c r="G237" s="45">
        <v>200000000</v>
      </c>
      <c r="H237" s="45">
        <v>200000000</v>
      </c>
      <c r="I237" s="37" t="s">
        <v>561</v>
      </c>
    </row>
    <row r="238" spans="1:9" ht="153" hidden="1" x14ac:dyDescent="0.25">
      <c r="A238" s="31"/>
      <c r="B238" s="37" t="s">
        <v>620</v>
      </c>
      <c r="C238" s="36"/>
      <c r="D238" s="36"/>
      <c r="E238" s="45"/>
      <c r="F238" s="36"/>
      <c r="G238" s="45">
        <v>3265000</v>
      </c>
      <c r="H238" s="45"/>
      <c r="I238" s="37" t="s">
        <v>621</v>
      </c>
    </row>
    <row r="239" spans="1:9" ht="153" hidden="1" x14ac:dyDescent="0.25">
      <c r="A239" s="31"/>
      <c r="B239" s="37" t="s">
        <v>608</v>
      </c>
      <c r="C239" s="36"/>
      <c r="D239" s="36"/>
      <c r="E239" s="45"/>
      <c r="F239" s="45"/>
      <c r="G239" s="45">
        <v>10500000</v>
      </c>
      <c r="H239" s="45">
        <v>2465000</v>
      </c>
      <c r="I239" s="37" t="s">
        <v>622</v>
      </c>
    </row>
    <row r="240" spans="1:9" ht="51" hidden="1" x14ac:dyDescent="0.25">
      <c r="A240" s="31"/>
      <c r="B240" s="37" t="s">
        <v>241</v>
      </c>
      <c r="C240" s="36"/>
      <c r="D240" s="36"/>
      <c r="E240" s="45"/>
      <c r="F240" s="45"/>
      <c r="G240" s="45"/>
      <c r="H240" s="45">
        <v>800000</v>
      </c>
      <c r="I240" s="37" t="s">
        <v>623</v>
      </c>
    </row>
    <row r="241" spans="1:9" ht="76.5" hidden="1" x14ac:dyDescent="0.25">
      <c r="A241" s="31"/>
      <c r="B241" s="37" t="s">
        <v>246</v>
      </c>
      <c r="C241" s="45"/>
      <c r="D241" s="45"/>
      <c r="E241" s="45"/>
      <c r="F241" s="45"/>
      <c r="G241" s="45">
        <v>1000000</v>
      </c>
      <c r="H241" s="45">
        <v>1000000</v>
      </c>
      <c r="I241" s="37" t="s">
        <v>610</v>
      </c>
    </row>
    <row r="242" spans="1:9" ht="76.5" hidden="1" x14ac:dyDescent="0.25">
      <c r="A242" s="65"/>
      <c r="B242" s="37" t="s">
        <v>246</v>
      </c>
      <c r="C242" s="45"/>
      <c r="D242" s="45"/>
      <c r="E242" s="45"/>
      <c r="F242" s="45"/>
      <c r="G242" s="45"/>
      <c r="H242" s="45"/>
      <c r="I242" s="32" t="s">
        <v>611</v>
      </c>
    </row>
    <row r="243" spans="1:9" ht="63.75" x14ac:dyDescent="0.25">
      <c r="A243" s="31" t="s">
        <v>128</v>
      </c>
      <c r="B243" s="62" t="s">
        <v>129</v>
      </c>
      <c r="C243" s="30">
        <v>0</v>
      </c>
      <c r="D243" s="30">
        <v>0</v>
      </c>
      <c r="E243" s="30">
        <v>0</v>
      </c>
      <c r="F243" s="30">
        <v>0</v>
      </c>
      <c r="G243" s="30">
        <v>0</v>
      </c>
      <c r="H243" s="30">
        <v>10500000</v>
      </c>
      <c r="I243" s="43"/>
    </row>
    <row r="244" spans="1:9" ht="38.25" x14ac:dyDescent="0.25">
      <c r="A244" s="31"/>
      <c r="B244" s="116" t="s">
        <v>243</v>
      </c>
      <c r="C244" s="36">
        <v>0</v>
      </c>
      <c r="D244" s="36">
        <v>0</v>
      </c>
      <c r="E244" s="36">
        <v>0</v>
      </c>
      <c r="F244" s="36">
        <v>0</v>
      </c>
      <c r="G244" s="36">
        <v>0</v>
      </c>
      <c r="H244" s="36">
        <v>10500000</v>
      </c>
      <c r="I244" s="37"/>
    </row>
    <row r="245" spans="1:9" ht="114.75" hidden="1" x14ac:dyDescent="0.25">
      <c r="A245" s="31"/>
      <c r="B245" s="37" t="s">
        <v>608</v>
      </c>
      <c r="C245" s="45"/>
      <c r="D245" s="45"/>
      <c r="E245" s="45"/>
      <c r="F245" s="45"/>
      <c r="G245" s="45"/>
      <c r="H245" s="45">
        <v>10500000</v>
      </c>
      <c r="I245" s="37" t="s">
        <v>245</v>
      </c>
    </row>
    <row r="246" spans="1:9" ht="242.25" hidden="1" x14ac:dyDescent="0.25">
      <c r="A246" s="31"/>
      <c r="B246" s="37" t="s">
        <v>609</v>
      </c>
      <c r="C246" s="45"/>
      <c r="D246" s="45"/>
      <c r="E246" s="45"/>
      <c r="F246" s="45"/>
      <c r="G246" s="45"/>
      <c r="H246" s="45"/>
      <c r="I246" s="32" t="s">
        <v>618</v>
      </c>
    </row>
    <row r="247" spans="1:9" ht="63.75" x14ac:dyDescent="0.25">
      <c r="A247" s="31" t="s">
        <v>99</v>
      </c>
      <c r="B247" s="32" t="s">
        <v>100</v>
      </c>
      <c r="C247" s="30">
        <v>0</v>
      </c>
      <c r="D247" s="30">
        <v>0</v>
      </c>
      <c r="E247" s="30">
        <v>20000000</v>
      </c>
      <c r="F247" s="30">
        <v>0</v>
      </c>
      <c r="G247" s="30">
        <v>0</v>
      </c>
      <c r="H247" s="30">
        <v>0</v>
      </c>
      <c r="I247" s="37"/>
    </row>
    <row r="248" spans="1:9" ht="51" x14ac:dyDescent="0.25">
      <c r="A248" s="31"/>
      <c r="B248" s="116" t="s">
        <v>159</v>
      </c>
      <c r="C248" s="36">
        <v>0</v>
      </c>
      <c r="D248" s="36">
        <v>0</v>
      </c>
      <c r="E248" s="36">
        <v>20000000</v>
      </c>
      <c r="F248" s="36">
        <v>0</v>
      </c>
      <c r="G248" s="36">
        <v>0</v>
      </c>
      <c r="H248" s="36">
        <v>0</v>
      </c>
      <c r="I248" s="37"/>
    </row>
    <row r="249" spans="1:9" ht="63.75" x14ac:dyDescent="0.25">
      <c r="A249" s="31"/>
      <c r="B249" s="37" t="s">
        <v>642</v>
      </c>
      <c r="C249" s="36"/>
      <c r="D249" s="36"/>
      <c r="E249" s="22">
        <v>20000000</v>
      </c>
      <c r="F249" s="36"/>
      <c r="G249" s="36"/>
      <c r="H249" s="45"/>
      <c r="I249" s="37" t="s">
        <v>642</v>
      </c>
    </row>
    <row r="250" spans="1:9" ht="76.5" x14ac:dyDescent="0.25">
      <c r="A250" s="31" t="s">
        <v>205</v>
      </c>
      <c r="B250" s="62" t="s">
        <v>126</v>
      </c>
      <c r="C250" s="30">
        <v>0</v>
      </c>
      <c r="D250" s="30">
        <v>0</v>
      </c>
      <c r="E250" s="30">
        <v>281082415</v>
      </c>
      <c r="F250" s="30">
        <v>2276000</v>
      </c>
      <c r="G250" s="30">
        <v>0</v>
      </c>
      <c r="H250" s="30">
        <v>0</v>
      </c>
      <c r="I250" s="37"/>
    </row>
    <row r="251" spans="1:9" ht="25.5" x14ac:dyDescent="0.25">
      <c r="A251" s="31"/>
      <c r="B251" s="116" t="s">
        <v>119</v>
      </c>
      <c r="C251" s="36">
        <v>0</v>
      </c>
      <c r="D251" s="36">
        <v>0</v>
      </c>
      <c r="E251" s="36">
        <v>281082415</v>
      </c>
      <c r="F251" s="36">
        <v>2276000</v>
      </c>
      <c r="G251" s="36">
        <v>0</v>
      </c>
      <c r="H251" s="36">
        <v>0</v>
      </c>
      <c r="I251" s="37"/>
    </row>
    <row r="252" spans="1:9" ht="204" x14ac:dyDescent="0.25">
      <c r="A252" s="31"/>
      <c r="B252" s="37" t="s">
        <v>296</v>
      </c>
      <c r="C252" s="45"/>
      <c r="D252" s="45"/>
      <c r="E252" s="22">
        <v>19100000</v>
      </c>
      <c r="F252" s="45"/>
      <c r="G252" s="45"/>
      <c r="H252" s="45"/>
      <c r="I252" s="37" t="s">
        <v>614</v>
      </c>
    </row>
    <row r="253" spans="1:9" ht="127.5" x14ac:dyDescent="0.25">
      <c r="A253" s="31"/>
      <c r="B253" s="37" t="s">
        <v>297</v>
      </c>
      <c r="C253" s="45"/>
      <c r="D253" s="45"/>
      <c r="E253" s="22">
        <v>109986000</v>
      </c>
      <c r="F253" s="45"/>
      <c r="G253" s="45"/>
      <c r="H253" s="45"/>
      <c r="I253" s="37" t="s">
        <v>639</v>
      </c>
    </row>
    <row r="254" spans="1:9" ht="216.75" x14ac:dyDescent="0.25">
      <c r="A254" s="31"/>
      <c r="B254" s="37" t="s">
        <v>298</v>
      </c>
      <c r="C254" s="45"/>
      <c r="D254" s="45"/>
      <c r="E254" s="45">
        <v>3525000</v>
      </c>
      <c r="F254" s="45"/>
      <c r="G254" s="45"/>
      <c r="H254" s="45"/>
      <c r="I254" s="37" t="s">
        <v>614</v>
      </c>
    </row>
    <row r="255" spans="1:9" ht="63.75" x14ac:dyDescent="0.25">
      <c r="A255" s="31"/>
      <c r="B255" s="37" t="s">
        <v>299</v>
      </c>
      <c r="C255" s="45"/>
      <c r="D255" s="45"/>
      <c r="E255" s="45">
        <v>6415</v>
      </c>
      <c r="F255" s="45"/>
      <c r="G255" s="45"/>
      <c r="H255" s="45"/>
      <c r="I255" s="37" t="s">
        <v>300</v>
      </c>
    </row>
    <row r="256" spans="1:9" ht="127.5" x14ac:dyDescent="0.25">
      <c r="A256" s="31"/>
      <c r="B256" s="37" t="s">
        <v>301</v>
      </c>
      <c r="C256" s="45">
        <v>0</v>
      </c>
      <c r="D256" s="45">
        <v>0</v>
      </c>
      <c r="E256" s="22">
        <v>148465000</v>
      </c>
      <c r="F256" s="45">
        <v>2276000</v>
      </c>
      <c r="G256" s="45">
        <v>0</v>
      </c>
      <c r="H256" s="45">
        <v>0</v>
      </c>
      <c r="I256" s="37"/>
    </row>
    <row r="257" spans="1:9" ht="25.5" x14ac:dyDescent="0.25">
      <c r="A257" s="31"/>
      <c r="B257" s="134" t="s">
        <v>302</v>
      </c>
      <c r="C257" s="45"/>
      <c r="D257" s="45"/>
      <c r="E257" s="45">
        <v>127000000</v>
      </c>
      <c r="F257" s="45"/>
      <c r="G257" s="45"/>
      <c r="H257" s="45"/>
      <c r="I257" s="66" t="s">
        <v>639</v>
      </c>
    </row>
    <row r="258" spans="1:9" ht="25.5" x14ac:dyDescent="0.25">
      <c r="A258" s="31"/>
      <c r="B258" s="134" t="s">
        <v>303</v>
      </c>
      <c r="C258" s="45"/>
      <c r="D258" s="45"/>
      <c r="E258" s="45">
        <v>21465000</v>
      </c>
      <c r="F258" s="45"/>
      <c r="G258" s="45"/>
      <c r="H258" s="45"/>
      <c r="I258" s="66" t="s">
        <v>639</v>
      </c>
    </row>
    <row r="259" spans="1:9" ht="25.5" hidden="1" x14ac:dyDescent="0.25">
      <c r="A259" s="31"/>
      <c r="B259" s="138" t="s">
        <v>401</v>
      </c>
      <c r="C259" s="45"/>
      <c r="D259" s="45"/>
      <c r="E259" s="45"/>
      <c r="F259" s="45">
        <v>2276000</v>
      </c>
      <c r="G259" s="45"/>
      <c r="H259" s="45"/>
      <c r="I259" s="66" t="s">
        <v>402</v>
      </c>
    </row>
    <row r="260" spans="1:9" ht="114.75" x14ac:dyDescent="0.25">
      <c r="A260" s="31" t="s">
        <v>160</v>
      </c>
      <c r="B260" s="32" t="s">
        <v>161</v>
      </c>
      <c r="C260" s="30">
        <v>0</v>
      </c>
      <c r="D260" s="30">
        <v>0</v>
      </c>
      <c r="E260" s="30">
        <v>0</v>
      </c>
      <c r="F260" s="30">
        <v>0</v>
      </c>
      <c r="G260" s="30">
        <v>951157</v>
      </c>
      <c r="H260" s="30">
        <v>951157</v>
      </c>
      <c r="I260" s="66"/>
    </row>
    <row r="261" spans="1:9" ht="38.25" x14ac:dyDescent="0.25">
      <c r="A261" s="31"/>
      <c r="B261" s="116" t="s">
        <v>243</v>
      </c>
      <c r="C261" s="36">
        <v>0</v>
      </c>
      <c r="D261" s="36">
        <v>0</v>
      </c>
      <c r="E261" s="36">
        <v>0</v>
      </c>
      <c r="F261" s="36">
        <v>0</v>
      </c>
      <c r="G261" s="36">
        <v>951157</v>
      </c>
      <c r="H261" s="36">
        <v>951157</v>
      </c>
      <c r="I261" s="37"/>
    </row>
    <row r="262" spans="1:9" ht="76.5" hidden="1" x14ac:dyDescent="0.25">
      <c r="A262" s="31"/>
      <c r="B262" s="37" t="s">
        <v>246</v>
      </c>
      <c r="C262" s="45"/>
      <c r="D262" s="45"/>
      <c r="E262" s="45"/>
      <c r="F262" s="45"/>
      <c r="G262" s="45"/>
      <c r="H262" s="45">
        <v>951157</v>
      </c>
      <c r="I262" s="37" t="s">
        <v>247</v>
      </c>
    </row>
    <row r="263" spans="1:9" ht="51" hidden="1" x14ac:dyDescent="0.25">
      <c r="A263" s="31"/>
      <c r="B263" s="74" t="s">
        <v>244</v>
      </c>
      <c r="C263" s="45"/>
      <c r="D263" s="45"/>
      <c r="E263" s="45"/>
      <c r="F263" s="45"/>
      <c r="G263" s="45">
        <v>951157</v>
      </c>
      <c r="H263" s="45"/>
      <c r="I263" s="37" t="s">
        <v>247</v>
      </c>
    </row>
    <row r="264" spans="1:9" ht="51" x14ac:dyDescent="0.25">
      <c r="A264" s="29" t="s">
        <v>5</v>
      </c>
      <c r="B264" s="80" t="s">
        <v>6</v>
      </c>
      <c r="C264" s="126">
        <v>23461800</v>
      </c>
      <c r="D264" s="126">
        <v>0</v>
      </c>
      <c r="E264" s="126">
        <v>0</v>
      </c>
      <c r="F264" s="126">
        <v>77033932</v>
      </c>
      <c r="G264" s="126">
        <v>95016873</v>
      </c>
      <c r="H264" s="126">
        <v>95016873</v>
      </c>
      <c r="I264" s="141"/>
    </row>
    <row r="265" spans="1:9" ht="63.75" x14ac:dyDescent="0.25">
      <c r="A265" s="31" t="s">
        <v>7</v>
      </c>
      <c r="B265" s="32" t="s">
        <v>8</v>
      </c>
      <c r="C265" s="30">
        <v>23461800</v>
      </c>
      <c r="D265" s="30">
        <v>0</v>
      </c>
      <c r="E265" s="30">
        <v>0</v>
      </c>
      <c r="F265" s="30">
        <v>70758547</v>
      </c>
      <c r="G265" s="30">
        <v>91150997</v>
      </c>
      <c r="H265" s="30">
        <v>76565341</v>
      </c>
      <c r="I265" s="37"/>
    </row>
    <row r="266" spans="1:9" ht="63.75" x14ac:dyDescent="0.25">
      <c r="A266" s="99"/>
      <c r="B266" s="115" t="s">
        <v>121</v>
      </c>
      <c r="C266" s="36">
        <v>23461800</v>
      </c>
      <c r="D266" s="36">
        <v>0</v>
      </c>
      <c r="E266" s="36">
        <v>0</v>
      </c>
      <c r="F266" s="36">
        <v>70758547</v>
      </c>
      <c r="G266" s="36">
        <v>91150997</v>
      </c>
      <c r="H266" s="36">
        <v>76565341</v>
      </c>
      <c r="I266" s="37"/>
    </row>
    <row r="267" spans="1:9" ht="191.25" hidden="1" x14ac:dyDescent="0.25">
      <c r="A267" s="99"/>
      <c r="B267" s="100" t="s">
        <v>251</v>
      </c>
      <c r="C267" s="45"/>
      <c r="D267" s="45"/>
      <c r="E267" s="45"/>
      <c r="F267" s="45"/>
      <c r="G267" s="45">
        <v>73567997</v>
      </c>
      <c r="H267" s="45">
        <v>57982341</v>
      </c>
      <c r="I267" s="37" t="s">
        <v>252</v>
      </c>
    </row>
    <row r="268" spans="1:9" ht="51" hidden="1" x14ac:dyDescent="0.25">
      <c r="A268" s="99"/>
      <c r="B268" s="303" t="s">
        <v>253</v>
      </c>
      <c r="C268" s="45">
        <v>23461800</v>
      </c>
      <c r="D268" s="45"/>
      <c r="E268" s="45"/>
      <c r="F268" s="45"/>
      <c r="G268" s="45"/>
      <c r="H268" s="45"/>
      <c r="I268" s="37" t="s">
        <v>254</v>
      </c>
    </row>
    <row r="269" spans="1:9" ht="51" hidden="1" x14ac:dyDescent="0.25">
      <c r="A269" s="99"/>
      <c r="B269" s="304"/>
      <c r="C269" s="45"/>
      <c r="D269" s="45"/>
      <c r="E269" s="45"/>
      <c r="F269" s="45"/>
      <c r="G269" s="45">
        <v>9583000</v>
      </c>
      <c r="H269" s="45"/>
      <c r="I269" s="37" t="s">
        <v>255</v>
      </c>
    </row>
    <row r="270" spans="1:9" ht="63.75" hidden="1" x14ac:dyDescent="0.25">
      <c r="A270" s="99"/>
      <c r="B270" s="86" t="s">
        <v>256</v>
      </c>
      <c r="C270" s="45"/>
      <c r="D270" s="45"/>
      <c r="E270" s="45"/>
      <c r="F270" s="45"/>
      <c r="G270" s="45">
        <v>8000000</v>
      </c>
      <c r="H270" s="45"/>
      <c r="I270" s="37" t="s">
        <v>257</v>
      </c>
    </row>
    <row r="271" spans="1:9" ht="318.75" hidden="1" x14ac:dyDescent="0.25">
      <c r="A271" s="99"/>
      <c r="B271" s="149" t="s">
        <v>258</v>
      </c>
      <c r="C271" s="45"/>
      <c r="D271" s="45"/>
      <c r="E271" s="45"/>
      <c r="F271" s="45">
        <v>70758547</v>
      </c>
      <c r="G271" s="45">
        <v>0</v>
      </c>
      <c r="H271" s="45">
        <v>18583000</v>
      </c>
      <c r="I271" s="37" t="s">
        <v>667</v>
      </c>
    </row>
    <row r="272" spans="1:9" ht="76.5" x14ac:dyDescent="0.25">
      <c r="A272" s="31" t="s">
        <v>102</v>
      </c>
      <c r="B272" s="75" t="s">
        <v>103</v>
      </c>
      <c r="C272" s="30">
        <v>0</v>
      </c>
      <c r="D272" s="30">
        <v>0</v>
      </c>
      <c r="E272" s="30">
        <v>0</v>
      </c>
      <c r="F272" s="30">
        <v>0</v>
      </c>
      <c r="G272" s="30">
        <v>2523581</v>
      </c>
      <c r="H272" s="30">
        <v>0</v>
      </c>
      <c r="I272" s="101"/>
    </row>
    <row r="273" spans="1:9" ht="63.75" x14ac:dyDescent="0.25">
      <c r="A273" s="31"/>
      <c r="B273" s="115" t="s">
        <v>121</v>
      </c>
      <c r="C273" s="45">
        <v>0</v>
      </c>
      <c r="D273" s="45">
        <v>0</v>
      </c>
      <c r="E273" s="45">
        <v>0</v>
      </c>
      <c r="F273" s="45">
        <v>0</v>
      </c>
      <c r="G273" s="45">
        <v>2523581</v>
      </c>
      <c r="H273" s="45">
        <v>0</v>
      </c>
      <c r="I273" s="37"/>
    </row>
    <row r="274" spans="1:9" ht="102" hidden="1" x14ac:dyDescent="0.25">
      <c r="A274" s="31"/>
      <c r="B274" s="100" t="s">
        <v>251</v>
      </c>
      <c r="C274" s="45"/>
      <c r="D274" s="45"/>
      <c r="E274" s="45"/>
      <c r="F274" s="45"/>
      <c r="G274" s="45">
        <v>2523581</v>
      </c>
      <c r="H274" s="45"/>
      <c r="I274" s="37" t="s">
        <v>259</v>
      </c>
    </row>
    <row r="275" spans="1:9" ht="102" x14ac:dyDescent="0.25">
      <c r="A275" s="31" t="s">
        <v>104</v>
      </c>
      <c r="B275" s="75" t="s">
        <v>105</v>
      </c>
      <c r="C275" s="30">
        <v>0</v>
      </c>
      <c r="D275" s="30">
        <v>0</v>
      </c>
      <c r="E275" s="30">
        <v>0</v>
      </c>
      <c r="F275" s="30">
        <v>0</v>
      </c>
      <c r="G275" s="30">
        <v>0</v>
      </c>
      <c r="H275" s="30">
        <v>18109237</v>
      </c>
      <c r="I275" s="37"/>
    </row>
    <row r="276" spans="1:9" ht="63.75" x14ac:dyDescent="0.25">
      <c r="A276" s="31"/>
      <c r="B276" s="115" t="s">
        <v>121</v>
      </c>
      <c r="C276" s="36">
        <v>0</v>
      </c>
      <c r="D276" s="36">
        <v>0</v>
      </c>
      <c r="E276" s="36">
        <v>0</v>
      </c>
      <c r="F276" s="36">
        <v>0</v>
      </c>
      <c r="G276" s="36">
        <v>0</v>
      </c>
      <c r="H276" s="36">
        <v>18109237</v>
      </c>
      <c r="I276" s="37"/>
    </row>
    <row r="277" spans="1:9" ht="127.5" hidden="1" x14ac:dyDescent="0.25">
      <c r="A277" s="31"/>
      <c r="B277" s="100" t="s">
        <v>251</v>
      </c>
      <c r="C277" s="45"/>
      <c r="D277" s="45"/>
      <c r="E277" s="45"/>
      <c r="F277" s="45"/>
      <c r="G277" s="45"/>
      <c r="H277" s="45">
        <v>18109237</v>
      </c>
      <c r="I277" s="37" t="s">
        <v>260</v>
      </c>
    </row>
    <row r="278" spans="1:9" ht="102" x14ac:dyDescent="0.25">
      <c r="A278" s="31" t="s">
        <v>106</v>
      </c>
      <c r="B278" s="75" t="s">
        <v>228</v>
      </c>
      <c r="C278" s="30">
        <v>0</v>
      </c>
      <c r="D278" s="30">
        <v>0</v>
      </c>
      <c r="E278" s="30">
        <v>0</v>
      </c>
      <c r="F278" s="30">
        <v>0</v>
      </c>
      <c r="G278" s="30">
        <v>1000000</v>
      </c>
      <c r="H278" s="30">
        <v>0</v>
      </c>
      <c r="I278" s="37"/>
    </row>
    <row r="279" spans="1:9" ht="63.75" x14ac:dyDescent="0.25">
      <c r="A279" s="31"/>
      <c r="B279" s="115" t="s">
        <v>121</v>
      </c>
      <c r="C279" s="36">
        <v>0</v>
      </c>
      <c r="D279" s="36">
        <v>0</v>
      </c>
      <c r="E279" s="36">
        <v>0</v>
      </c>
      <c r="F279" s="36">
        <v>0</v>
      </c>
      <c r="G279" s="36">
        <v>1000000</v>
      </c>
      <c r="H279" s="36">
        <v>0</v>
      </c>
      <c r="I279" s="37"/>
    </row>
    <row r="280" spans="1:9" ht="63.75" hidden="1" x14ac:dyDescent="0.25">
      <c r="A280" s="31"/>
      <c r="B280" s="86" t="s">
        <v>256</v>
      </c>
      <c r="C280" s="45"/>
      <c r="D280" s="36"/>
      <c r="E280" s="45"/>
      <c r="F280" s="45"/>
      <c r="G280" s="45">
        <v>1000000</v>
      </c>
      <c r="H280" s="45"/>
      <c r="I280" s="37" t="s">
        <v>631</v>
      </c>
    </row>
    <row r="281" spans="1:9" ht="63.75" x14ac:dyDescent="0.25">
      <c r="A281" s="31" t="s">
        <v>9</v>
      </c>
      <c r="B281" s="32" t="s">
        <v>10</v>
      </c>
      <c r="C281" s="30">
        <v>0</v>
      </c>
      <c r="D281" s="30">
        <v>0</v>
      </c>
      <c r="E281" s="30">
        <v>0</v>
      </c>
      <c r="F281" s="30">
        <v>0</v>
      </c>
      <c r="G281" s="30">
        <v>342295</v>
      </c>
      <c r="H281" s="30">
        <v>342295</v>
      </c>
      <c r="I281" s="37"/>
    </row>
    <row r="282" spans="1:9" ht="25.5" x14ac:dyDescent="0.25">
      <c r="A282" s="31"/>
      <c r="B282" s="113" t="s">
        <v>120</v>
      </c>
      <c r="C282" s="36">
        <v>0</v>
      </c>
      <c r="D282" s="36">
        <v>0</v>
      </c>
      <c r="E282" s="36">
        <v>0</v>
      </c>
      <c r="F282" s="36">
        <v>0</v>
      </c>
      <c r="G282" s="36">
        <v>342295</v>
      </c>
      <c r="H282" s="36">
        <v>342295</v>
      </c>
      <c r="I282" s="37"/>
    </row>
    <row r="283" spans="1:9" ht="76.5" hidden="1" x14ac:dyDescent="0.25">
      <c r="A283" s="31"/>
      <c r="B283" s="123" t="s">
        <v>261</v>
      </c>
      <c r="C283" s="36"/>
      <c r="D283" s="36"/>
      <c r="E283" s="36"/>
      <c r="F283" s="36"/>
      <c r="G283" s="45">
        <v>259690</v>
      </c>
      <c r="H283" s="45"/>
      <c r="I283" s="291" t="s">
        <v>636</v>
      </c>
    </row>
    <row r="284" spans="1:9" ht="63.75" hidden="1" x14ac:dyDescent="0.25">
      <c r="A284" s="99"/>
      <c r="B284" s="124" t="s">
        <v>262</v>
      </c>
      <c r="C284" s="36"/>
      <c r="D284" s="36"/>
      <c r="E284" s="36"/>
      <c r="F284" s="36"/>
      <c r="G284" s="45"/>
      <c r="H284" s="45">
        <v>342295</v>
      </c>
      <c r="I284" s="292"/>
    </row>
    <row r="285" spans="1:9" ht="89.25" hidden="1" x14ac:dyDescent="0.25">
      <c r="A285" s="99"/>
      <c r="B285" s="124" t="s">
        <v>635</v>
      </c>
      <c r="C285" s="45"/>
      <c r="D285" s="45"/>
      <c r="E285" s="45"/>
      <c r="F285" s="45"/>
      <c r="G285" s="45">
        <v>82605</v>
      </c>
      <c r="H285" s="45"/>
      <c r="I285" s="293"/>
    </row>
    <row r="286" spans="1:9" ht="76.5" x14ac:dyDescent="0.25">
      <c r="A286" s="31" t="s">
        <v>11</v>
      </c>
      <c r="B286" s="32" t="s">
        <v>12</v>
      </c>
      <c r="C286" s="30">
        <v>0</v>
      </c>
      <c r="D286" s="30">
        <v>0</v>
      </c>
      <c r="E286" s="30">
        <v>0</v>
      </c>
      <c r="F286" s="30">
        <v>6275385</v>
      </c>
      <c r="G286" s="30">
        <v>0</v>
      </c>
      <c r="H286" s="30">
        <v>0</v>
      </c>
      <c r="I286" s="78"/>
    </row>
    <row r="287" spans="1:9" ht="63.75" x14ac:dyDescent="0.25">
      <c r="A287" s="31"/>
      <c r="B287" s="115" t="s">
        <v>121</v>
      </c>
      <c r="C287" s="36">
        <v>0</v>
      </c>
      <c r="D287" s="36">
        <v>0</v>
      </c>
      <c r="E287" s="36">
        <v>0</v>
      </c>
      <c r="F287" s="36">
        <v>6275385</v>
      </c>
      <c r="G287" s="36">
        <v>0</v>
      </c>
      <c r="H287" s="36">
        <v>0</v>
      </c>
      <c r="I287" s="37"/>
    </row>
    <row r="288" spans="1:9" ht="76.5" hidden="1" x14ac:dyDescent="0.25">
      <c r="A288" s="31"/>
      <c r="B288" s="74" t="s">
        <v>263</v>
      </c>
      <c r="C288" s="45"/>
      <c r="D288" s="45"/>
      <c r="E288" s="45"/>
      <c r="F288" s="45">
        <v>6275385</v>
      </c>
      <c r="G288" s="45"/>
      <c r="H288" s="45"/>
      <c r="I288" s="37" t="s">
        <v>264</v>
      </c>
    </row>
    <row r="289" spans="1:9" ht="38.25" x14ac:dyDescent="0.25">
      <c r="A289" s="31"/>
      <c r="B289" s="116" t="s">
        <v>243</v>
      </c>
      <c r="C289" s="45">
        <v>0</v>
      </c>
      <c r="D289" s="45">
        <v>0</v>
      </c>
      <c r="E289" s="45">
        <v>0</v>
      </c>
      <c r="F289" s="45">
        <v>0</v>
      </c>
      <c r="G289" s="45">
        <v>0</v>
      </c>
      <c r="H289" s="45">
        <v>0</v>
      </c>
      <c r="I289" s="37"/>
    </row>
    <row r="290" spans="1:9" ht="267.75" hidden="1" x14ac:dyDescent="0.25">
      <c r="A290" s="31"/>
      <c r="B290" s="43" t="s">
        <v>609</v>
      </c>
      <c r="C290" s="45"/>
      <c r="D290" s="36"/>
      <c r="E290" s="36"/>
      <c r="F290" s="36"/>
      <c r="G290" s="45"/>
      <c r="H290" s="45"/>
      <c r="I290" s="32" t="s">
        <v>619</v>
      </c>
    </row>
    <row r="291" spans="1:9" ht="51" x14ac:dyDescent="0.25">
      <c r="A291" s="29" t="s">
        <v>265</v>
      </c>
      <c r="B291" s="55" t="s">
        <v>266</v>
      </c>
      <c r="C291" s="126">
        <v>0</v>
      </c>
      <c r="D291" s="126">
        <v>0</v>
      </c>
      <c r="E291" s="126">
        <v>0</v>
      </c>
      <c r="F291" s="126">
        <v>0</v>
      </c>
      <c r="G291" s="126">
        <v>2756300</v>
      </c>
      <c r="H291" s="126">
        <v>2756300</v>
      </c>
      <c r="I291" s="127"/>
    </row>
    <row r="292" spans="1:9" ht="63.75" x14ac:dyDescent="0.25">
      <c r="A292" s="31" t="s">
        <v>267</v>
      </c>
      <c r="B292" s="32" t="s">
        <v>268</v>
      </c>
      <c r="C292" s="30">
        <v>0</v>
      </c>
      <c r="D292" s="30">
        <v>0</v>
      </c>
      <c r="E292" s="30">
        <v>0</v>
      </c>
      <c r="F292" s="30">
        <v>0</v>
      </c>
      <c r="G292" s="30">
        <v>2756300</v>
      </c>
      <c r="H292" s="30">
        <v>2756300</v>
      </c>
      <c r="I292" s="37"/>
    </row>
    <row r="293" spans="1:9" ht="38.25" x14ac:dyDescent="0.25">
      <c r="A293" s="31"/>
      <c r="B293" s="113" t="s">
        <v>269</v>
      </c>
      <c r="C293" s="36">
        <v>0</v>
      </c>
      <c r="D293" s="36">
        <v>0</v>
      </c>
      <c r="E293" s="36">
        <v>0</v>
      </c>
      <c r="F293" s="36">
        <v>0</v>
      </c>
      <c r="G293" s="36">
        <v>2756300</v>
      </c>
      <c r="H293" s="36">
        <v>2756300</v>
      </c>
      <c r="I293" s="37"/>
    </row>
    <row r="294" spans="1:9" ht="63.75" hidden="1" x14ac:dyDescent="0.25">
      <c r="A294" s="31"/>
      <c r="B294" s="37" t="s">
        <v>270</v>
      </c>
      <c r="C294" s="36"/>
      <c r="D294" s="36"/>
      <c r="E294" s="36"/>
      <c r="F294" s="36"/>
      <c r="G294" s="125">
        <v>1273900</v>
      </c>
      <c r="H294" s="125">
        <v>1273900</v>
      </c>
      <c r="I294" s="37" t="s">
        <v>271</v>
      </c>
    </row>
    <row r="295" spans="1:9" ht="76.5" hidden="1" x14ac:dyDescent="0.25">
      <c r="A295" s="31"/>
      <c r="B295" s="74" t="s">
        <v>272</v>
      </c>
      <c r="C295" s="84"/>
      <c r="D295" s="84"/>
      <c r="E295" s="84"/>
      <c r="F295" s="84"/>
      <c r="G295" s="125">
        <v>1482400</v>
      </c>
      <c r="H295" s="125">
        <v>1482400</v>
      </c>
      <c r="I295" s="37" t="s">
        <v>273</v>
      </c>
    </row>
    <row r="296" spans="1:9" ht="76.5" x14ac:dyDescent="0.25">
      <c r="A296" s="29" t="s">
        <v>306</v>
      </c>
      <c r="B296" s="55" t="s">
        <v>307</v>
      </c>
      <c r="C296" s="126">
        <v>0</v>
      </c>
      <c r="D296" s="126">
        <v>0</v>
      </c>
      <c r="E296" s="126">
        <v>0</v>
      </c>
      <c r="F296" s="126">
        <v>11359000</v>
      </c>
      <c r="G296" s="126">
        <v>0</v>
      </c>
      <c r="H296" s="126">
        <v>0</v>
      </c>
      <c r="I296" s="127"/>
    </row>
    <row r="297" spans="1:9" ht="89.25" x14ac:dyDescent="0.25">
      <c r="A297" s="31" t="s">
        <v>308</v>
      </c>
      <c r="B297" s="32" t="s">
        <v>309</v>
      </c>
      <c r="C297" s="30">
        <v>0</v>
      </c>
      <c r="D297" s="30">
        <v>0</v>
      </c>
      <c r="E297" s="30">
        <v>0</v>
      </c>
      <c r="F297" s="30">
        <v>11359000</v>
      </c>
      <c r="G297" s="30">
        <v>0</v>
      </c>
      <c r="H297" s="30">
        <v>0</v>
      </c>
      <c r="I297" s="37"/>
    </row>
    <row r="298" spans="1:9" ht="51" x14ac:dyDescent="0.25">
      <c r="A298" s="31"/>
      <c r="B298" s="115" t="s">
        <v>34</v>
      </c>
      <c r="C298" s="36">
        <v>0</v>
      </c>
      <c r="D298" s="36">
        <v>0</v>
      </c>
      <c r="E298" s="36">
        <v>0</v>
      </c>
      <c r="F298" s="36">
        <v>11359000</v>
      </c>
      <c r="G298" s="36">
        <v>0</v>
      </c>
      <c r="H298" s="36">
        <v>0</v>
      </c>
      <c r="I298" s="37"/>
    </row>
    <row r="299" spans="1:9" ht="51" hidden="1" x14ac:dyDescent="0.25">
      <c r="A299" s="31"/>
      <c r="B299" s="43" t="s">
        <v>310</v>
      </c>
      <c r="C299" s="45"/>
      <c r="D299" s="45"/>
      <c r="E299" s="45"/>
      <c r="F299" s="45">
        <v>11359000</v>
      </c>
      <c r="G299" s="45"/>
      <c r="H299" s="45"/>
      <c r="I299" s="37" t="s">
        <v>640</v>
      </c>
    </row>
    <row r="300" spans="1:9" ht="114.75" x14ac:dyDescent="0.25">
      <c r="A300" s="29" t="s">
        <v>20</v>
      </c>
      <c r="B300" s="46" t="s">
        <v>21</v>
      </c>
      <c r="C300" s="126">
        <v>0</v>
      </c>
      <c r="D300" s="126">
        <v>0</v>
      </c>
      <c r="E300" s="126">
        <v>62215800</v>
      </c>
      <c r="F300" s="126">
        <v>20536759</v>
      </c>
      <c r="G300" s="126">
        <v>0</v>
      </c>
      <c r="H300" s="126">
        <v>1175000</v>
      </c>
      <c r="I300" s="127"/>
    </row>
    <row r="301" spans="1:9" ht="81" x14ac:dyDescent="0.25">
      <c r="A301" s="31" t="s">
        <v>206</v>
      </c>
      <c r="B301" s="102" t="s">
        <v>40</v>
      </c>
      <c r="C301" s="30">
        <v>0</v>
      </c>
      <c r="D301" s="30">
        <v>0</v>
      </c>
      <c r="E301" s="30">
        <v>0</v>
      </c>
      <c r="F301" s="30">
        <v>17020000</v>
      </c>
      <c r="G301" s="30">
        <v>0</v>
      </c>
      <c r="H301" s="30">
        <v>0</v>
      </c>
      <c r="I301" s="37"/>
    </row>
    <row r="302" spans="1:9" ht="25.5" x14ac:dyDescent="0.25">
      <c r="A302" s="31"/>
      <c r="B302" s="113" t="s">
        <v>41</v>
      </c>
      <c r="C302" s="36">
        <v>0</v>
      </c>
      <c r="D302" s="36">
        <v>0</v>
      </c>
      <c r="E302" s="36">
        <v>0</v>
      </c>
      <c r="F302" s="36">
        <v>17020000</v>
      </c>
      <c r="G302" s="36">
        <v>0</v>
      </c>
      <c r="H302" s="36">
        <v>0</v>
      </c>
      <c r="I302" s="37"/>
    </row>
    <row r="303" spans="1:9" ht="102" hidden="1" x14ac:dyDescent="0.25">
      <c r="A303" s="31"/>
      <c r="B303" s="35"/>
      <c r="C303" s="45"/>
      <c r="D303" s="45"/>
      <c r="E303" s="45"/>
      <c r="F303" s="45">
        <v>17020000</v>
      </c>
      <c r="G303" s="45"/>
      <c r="H303" s="45"/>
      <c r="I303" s="37" t="s">
        <v>615</v>
      </c>
    </row>
    <row r="304" spans="1:9" ht="114.75" x14ac:dyDescent="0.25">
      <c r="A304" s="31" t="s">
        <v>139</v>
      </c>
      <c r="B304" s="32" t="s">
        <v>140</v>
      </c>
      <c r="C304" s="30"/>
      <c r="D304" s="30"/>
      <c r="E304" s="10">
        <v>20000000</v>
      </c>
      <c r="F304" s="30"/>
      <c r="G304" s="30"/>
      <c r="H304" s="30"/>
      <c r="I304" s="37" t="s">
        <v>630</v>
      </c>
    </row>
    <row r="305" spans="1:9" ht="140.25" x14ac:dyDescent="0.25">
      <c r="A305" s="31" t="s">
        <v>222</v>
      </c>
      <c r="B305" s="32" t="s">
        <v>223</v>
      </c>
      <c r="C305" s="30"/>
      <c r="D305" s="30"/>
      <c r="E305" s="10">
        <v>36920000</v>
      </c>
      <c r="F305" s="10">
        <v>1131514</v>
      </c>
      <c r="G305" s="30"/>
      <c r="H305" s="30"/>
      <c r="I305" s="37" t="s">
        <v>641</v>
      </c>
    </row>
    <row r="306" spans="1:9" ht="76.5" x14ac:dyDescent="0.25">
      <c r="A306" s="31" t="s">
        <v>141</v>
      </c>
      <c r="B306" s="32" t="s">
        <v>142</v>
      </c>
      <c r="C306" s="30">
        <v>0</v>
      </c>
      <c r="D306" s="30">
        <v>0</v>
      </c>
      <c r="E306" s="30">
        <v>484400</v>
      </c>
      <c r="F306" s="30">
        <v>2385245</v>
      </c>
      <c r="G306" s="30">
        <v>0</v>
      </c>
      <c r="H306" s="30">
        <v>0</v>
      </c>
      <c r="I306" s="37"/>
    </row>
    <row r="307" spans="1:9" ht="38.25" x14ac:dyDescent="0.25">
      <c r="A307" s="31"/>
      <c r="B307" s="113" t="s">
        <v>123</v>
      </c>
      <c r="C307" s="36">
        <v>0</v>
      </c>
      <c r="D307" s="36">
        <v>0</v>
      </c>
      <c r="E307" s="36">
        <v>484400</v>
      </c>
      <c r="F307" s="36">
        <v>2385245</v>
      </c>
      <c r="G307" s="36">
        <v>0</v>
      </c>
      <c r="H307" s="36">
        <v>0</v>
      </c>
      <c r="I307" s="37"/>
    </row>
    <row r="308" spans="1:9" ht="51" hidden="1" x14ac:dyDescent="0.25">
      <c r="A308" s="31"/>
      <c r="B308" s="103"/>
      <c r="C308" s="30"/>
      <c r="D308" s="30"/>
      <c r="E308" s="45"/>
      <c r="F308" s="45">
        <v>2385245</v>
      </c>
      <c r="G308" s="30"/>
      <c r="H308" s="30"/>
      <c r="I308" s="37" t="s">
        <v>329</v>
      </c>
    </row>
    <row r="309" spans="1:9" ht="127.5" x14ac:dyDescent="0.25">
      <c r="A309" s="31"/>
      <c r="B309" s="103"/>
      <c r="C309" s="30"/>
      <c r="D309" s="30"/>
      <c r="E309" s="45">
        <v>484400</v>
      </c>
      <c r="F309" s="45"/>
      <c r="G309" s="30"/>
      <c r="H309" s="30"/>
      <c r="I309" s="37" t="s">
        <v>330</v>
      </c>
    </row>
    <row r="310" spans="1:9" ht="63.75" x14ac:dyDescent="0.25">
      <c r="A310" s="31" t="s">
        <v>42</v>
      </c>
      <c r="B310" s="104" t="s">
        <v>43</v>
      </c>
      <c r="C310" s="30">
        <v>0</v>
      </c>
      <c r="D310" s="30">
        <v>0</v>
      </c>
      <c r="E310" s="30">
        <v>3811400</v>
      </c>
      <c r="F310" s="30">
        <v>0</v>
      </c>
      <c r="G310" s="30">
        <v>0</v>
      </c>
      <c r="H310" s="30">
        <v>1175000</v>
      </c>
      <c r="I310" s="37"/>
    </row>
    <row r="311" spans="1:9" ht="51" x14ac:dyDescent="0.25">
      <c r="A311" s="54"/>
      <c r="B311" s="117" t="s">
        <v>44</v>
      </c>
      <c r="C311" s="36">
        <v>0</v>
      </c>
      <c r="D311" s="36">
        <v>0</v>
      </c>
      <c r="E311" s="36">
        <v>3811400</v>
      </c>
      <c r="F311" s="36">
        <v>0</v>
      </c>
      <c r="G311" s="36">
        <v>0</v>
      </c>
      <c r="H311" s="36">
        <v>1175000</v>
      </c>
      <c r="I311" s="37"/>
    </row>
    <row r="312" spans="1:9" ht="38.25" x14ac:dyDescent="0.25">
      <c r="A312" s="54"/>
      <c r="B312" s="74"/>
      <c r="C312" s="45"/>
      <c r="D312" s="45"/>
      <c r="E312" s="45">
        <v>1175000</v>
      </c>
      <c r="F312" s="45"/>
      <c r="G312" s="45"/>
      <c r="H312" s="45"/>
      <c r="I312" s="37" t="s">
        <v>563</v>
      </c>
    </row>
    <row r="313" spans="1:9" ht="76.5" hidden="1" x14ac:dyDescent="0.25">
      <c r="A313" s="31"/>
      <c r="B313" s="74"/>
      <c r="C313" s="45"/>
      <c r="D313" s="45"/>
      <c r="E313" s="45"/>
      <c r="F313" s="45"/>
      <c r="G313" s="45"/>
      <c r="H313" s="45"/>
      <c r="I313" s="119" t="s">
        <v>564</v>
      </c>
    </row>
    <row r="314" spans="1:9" ht="38.25" hidden="1" x14ac:dyDescent="0.25">
      <c r="A314" s="31"/>
      <c r="B314" s="74"/>
      <c r="C314" s="45"/>
      <c r="D314" s="45"/>
      <c r="E314" s="45"/>
      <c r="F314" s="45"/>
      <c r="G314" s="45"/>
      <c r="H314" s="45"/>
      <c r="I314" s="119" t="s">
        <v>565</v>
      </c>
    </row>
    <row r="315" spans="1:9" ht="38.25" x14ac:dyDescent="0.25">
      <c r="A315" s="31"/>
      <c r="B315" s="74"/>
      <c r="C315" s="45"/>
      <c r="D315" s="45"/>
      <c r="E315" s="45">
        <v>2636400</v>
      </c>
      <c r="F315" s="45"/>
      <c r="G315" s="45"/>
      <c r="H315" s="45"/>
      <c r="I315" s="119" t="s">
        <v>566</v>
      </c>
    </row>
    <row r="316" spans="1:9" ht="38.25" hidden="1" x14ac:dyDescent="0.25">
      <c r="A316" s="31"/>
      <c r="B316" s="74"/>
      <c r="C316" s="45"/>
      <c r="D316" s="45"/>
      <c r="E316" s="45"/>
      <c r="F316" s="45"/>
      <c r="G316" s="45"/>
      <c r="H316" s="45"/>
      <c r="I316" s="119" t="s">
        <v>567</v>
      </c>
    </row>
    <row r="317" spans="1:9" ht="38.25" hidden="1" x14ac:dyDescent="0.25">
      <c r="A317" s="31"/>
      <c r="B317" s="74"/>
      <c r="C317" s="45"/>
      <c r="D317" s="45"/>
      <c r="E317" s="45"/>
      <c r="F317" s="45"/>
      <c r="G317" s="45"/>
      <c r="H317" s="45">
        <v>1175000</v>
      </c>
      <c r="I317" s="119" t="s">
        <v>331</v>
      </c>
    </row>
    <row r="318" spans="1:9" ht="89.25" x14ac:dyDescent="0.25">
      <c r="A318" s="31" t="s">
        <v>155</v>
      </c>
      <c r="B318" s="97" t="s">
        <v>156</v>
      </c>
      <c r="C318" s="30">
        <v>0</v>
      </c>
      <c r="D318" s="30">
        <v>0</v>
      </c>
      <c r="E318" s="30">
        <v>1000000</v>
      </c>
      <c r="F318" s="30">
        <v>0</v>
      </c>
      <c r="G318" s="30">
        <v>0</v>
      </c>
      <c r="H318" s="30">
        <v>0</v>
      </c>
      <c r="I318" s="37"/>
    </row>
    <row r="319" spans="1:9" ht="51" x14ac:dyDescent="0.25">
      <c r="A319" s="31"/>
      <c r="B319" s="117" t="s">
        <v>44</v>
      </c>
      <c r="C319" s="36">
        <v>0</v>
      </c>
      <c r="D319" s="36">
        <v>0</v>
      </c>
      <c r="E319" s="36">
        <v>1000000</v>
      </c>
      <c r="F319" s="36">
        <v>0</v>
      </c>
      <c r="G319" s="36">
        <v>0</v>
      </c>
      <c r="H319" s="36">
        <v>0</v>
      </c>
      <c r="I319" s="37"/>
    </row>
    <row r="320" spans="1:9" ht="51" x14ac:dyDescent="0.25">
      <c r="A320" s="31"/>
      <c r="B320" s="105"/>
      <c r="C320" s="45"/>
      <c r="D320" s="45"/>
      <c r="E320" s="45">
        <v>1000000</v>
      </c>
      <c r="F320" s="45"/>
      <c r="G320" s="45"/>
      <c r="H320" s="45"/>
      <c r="I320" s="119" t="s">
        <v>660</v>
      </c>
    </row>
    <row r="321" spans="1:9" ht="76.5" x14ac:dyDescent="0.25">
      <c r="A321" s="29" t="s">
        <v>89</v>
      </c>
      <c r="B321" s="80" t="s">
        <v>87</v>
      </c>
      <c r="C321" s="126">
        <v>0</v>
      </c>
      <c r="D321" s="126">
        <v>0</v>
      </c>
      <c r="E321" s="126">
        <v>26909838</v>
      </c>
      <c r="F321" s="126">
        <v>0</v>
      </c>
      <c r="G321" s="126">
        <v>0</v>
      </c>
      <c r="H321" s="126">
        <v>0</v>
      </c>
      <c r="I321" s="141"/>
    </row>
    <row r="322" spans="1:9" ht="127.5" x14ac:dyDescent="0.25">
      <c r="A322" s="31" t="s">
        <v>113</v>
      </c>
      <c r="B322" s="104" t="s">
        <v>114</v>
      </c>
      <c r="C322" s="30">
        <v>0</v>
      </c>
      <c r="D322" s="30">
        <v>0</v>
      </c>
      <c r="E322" s="30">
        <v>26909838</v>
      </c>
      <c r="F322" s="30">
        <v>0</v>
      </c>
      <c r="G322" s="30">
        <v>0</v>
      </c>
      <c r="H322" s="30">
        <v>0</v>
      </c>
      <c r="I322" s="37"/>
    </row>
    <row r="323" spans="1:9" ht="38.25" x14ac:dyDescent="0.25">
      <c r="A323" s="31"/>
      <c r="B323" s="113" t="s">
        <v>35</v>
      </c>
      <c r="C323" s="36">
        <v>0</v>
      </c>
      <c r="D323" s="36">
        <v>0</v>
      </c>
      <c r="E323" s="36">
        <v>26909838</v>
      </c>
      <c r="F323" s="36">
        <v>0</v>
      </c>
      <c r="G323" s="36">
        <v>0</v>
      </c>
      <c r="H323" s="36">
        <v>0</v>
      </c>
      <c r="I323" s="37"/>
    </row>
    <row r="324" spans="1:9" ht="51" x14ac:dyDescent="0.25">
      <c r="A324" s="31"/>
      <c r="B324" s="106"/>
      <c r="C324" s="45"/>
      <c r="D324" s="45"/>
      <c r="E324" s="22">
        <v>26909838</v>
      </c>
      <c r="F324" s="45"/>
      <c r="G324" s="45"/>
      <c r="H324" s="45"/>
      <c r="I324" s="37" t="s">
        <v>568</v>
      </c>
    </row>
    <row r="325" spans="1:9" ht="89.25" x14ac:dyDescent="0.25">
      <c r="A325" s="29" t="s">
        <v>92</v>
      </c>
      <c r="B325" s="80" t="s">
        <v>91</v>
      </c>
      <c r="C325" s="126">
        <v>0</v>
      </c>
      <c r="D325" s="126">
        <v>0</v>
      </c>
      <c r="E325" s="126">
        <v>415946</v>
      </c>
      <c r="F325" s="126">
        <v>0</v>
      </c>
      <c r="G325" s="126">
        <v>0</v>
      </c>
      <c r="H325" s="126">
        <v>79937</v>
      </c>
      <c r="I325" s="141"/>
    </row>
    <row r="326" spans="1:9" ht="38.25" x14ac:dyDescent="0.25">
      <c r="A326" s="31" t="s">
        <v>115</v>
      </c>
      <c r="B326" s="97" t="s">
        <v>116</v>
      </c>
      <c r="C326" s="30">
        <v>0</v>
      </c>
      <c r="D326" s="30">
        <v>0</v>
      </c>
      <c r="E326" s="30">
        <v>415946</v>
      </c>
      <c r="F326" s="30">
        <v>0</v>
      </c>
      <c r="G326" s="30">
        <v>0</v>
      </c>
      <c r="H326" s="30">
        <v>0</v>
      </c>
      <c r="I326" s="37"/>
    </row>
    <row r="327" spans="1:9" ht="25.5" x14ac:dyDescent="0.25">
      <c r="A327" s="31"/>
      <c r="B327" s="115" t="s">
        <v>36</v>
      </c>
      <c r="C327" s="36">
        <v>0</v>
      </c>
      <c r="D327" s="36">
        <v>0</v>
      </c>
      <c r="E327" s="36">
        <v>415946</v>
      </c>
      <c r="F327" s="36">
        <v>0</v>
      </c>
      <c r="G327" s="36">
        <v>0</v>
      </c>
      <c r="H327" s="36">
        <v>0</v>
      </c>
      <c r="I327" s="37"/>
    </row>
    <row r="328" spans="1:9" ht="38.25" x14ac:dyDescent="0.25">
      <c r="A328" s="31"/>
      <c r="B328" s="74" t="s">
        <v>332</v>
      </c>
      <c r="C328" s="36"/>
      <c r="D328" s="36"/>
      <c r="E328" s="45">
        <v>415946</v>
      </c>
      <c r="F328" s="36"/>
      <c r="G328" s="36"/>
      <c r="H328" s="36"/>
      <c r="I328" s="119" t="s">
        <v>333</v>
      </c>
    </row>
    <row r="329" spans="1:9" ht="102" x14ac:dyDescent="0.25">
      <c r="A329" s="31" t="s">
        <v>217</v>
      </c>
      <c r="B329" s="104" t="s">
        <v>218</v>
      </c>
      <c r="C329" s="30">
        <v>0</v>
      </c>
      <c r="D329" s="30">
        <v>0</v>
      </c>
      <c r="E329" s="30">
        <v>0</v>
      </c>
      <c r="F329" s="30">
        <v>0</v>
      </c>
      <c r="G329" s="30">
        <v>0</v>
      </c>
      <c r="H329" s="30">
        <v>79937</v>
      </c>
      <c r="I329" s="32"/>
    </row>
    <row r="330" spans="1:9" ht="25.5" x14ac:dyDescent="0.25">
      <c r="A330" s="31"/>
      <c r="B330" s="115" t="s">
        <v>36</v>
      </c>
      <c r="C330" s="36">
        <v>0</v>
      </c>
      <c r="D330" s="36">
        <v>0</v>
      </c>
      <c r="E330" s="36">
        <v>0</v>
      </c>
      <c r="F330" s="36">
        <v>0</v>
      </c>
      <c r="G330" s="36">
        <v>0</v>
      </c>
      <c r="H330" s="36">
        <v>79937</v>
      </c>
      <c r="I330" s="37"/>
    </row>
    <row r="331" spans="1:9" ht="63.75" hidden="1" x14ac:dyDescent="0.25">
      <c r="A331" s="31"/>
      <c r="B331" s="58"/>
      <c r="C331" s="45"/>
      <c r="D331" s="45"/>
      <c r="E331" s="45"/>
      <c r="F331" s="45"/>
      <c r="G331" s="45"/>
      <c r="H331" s="45">
        <v>79937</v>
      </c>
      <c r="I331" s="37" t="s">
        <v>336</v>
      </c>
    </row>
    <row r="332" spans="1:9" ht="25.5" x14ac:dyDescent="0.25">
      <c r="A332" s="29" t="s">
        <v>207</v>
      </c>
      <c r="B332" s="46" t="s">
        <v>45</v>
      </c>
      <c r="C332" s="126">
        <v>63838100</v>
      </c>
      <c r="D332" s="126">
        <v>0</v>
      </c>
      <c r="E332" s="126">
        <v>66342791</v>
      </c>
      <c r="F332" s="126">
        <v>294339</v>
      </c>
      <c r="G332" s="126">
        <v>19861663</v>
      </c>
      <c r="H332" s="126">
        <v>16411231</v>
      </c>
      <c r="I332" s="141"/>
    </row>
    <row r="333" spans="1:9" ht="38.25" x14ac:dyDescent="0.25">
      <c r="A333" s="31"/>
      <c r="B333" s="113" t="s">
        <v>46</v>
      </c>
      <c r="C333" s="36">
        <v>0</v>
      </c>
      <c r="D333" s="36">
        <v>0</v>
      </c>
      <c r="E333" s="36">
        <v>3260514</v>
      </c>
      <c r="F333" s="36">
        <v>0</v>
      </c>
      <c r="G333" s="36">
        <v>711000</v>
      </c>
      <c r="H333" s="36">
        <v>4000</v>
      </c>
      <c r="I333" s="37"/>
    </row>
    <row r="334" spans="1:9" ht="63.75" x14ac:dyDescent="0.25">
      <c r="A334" s="31"/>
      <c r="B334" s="74"/>
      <c r="C334" s="45"/>
      <c r="D334" s="45"/>
      <c r="E334" s="45">
        <v>973851</v>
      </c>
      <c r="F334" s="45"/>
      <c r="G334" s="45"/>
      <c r="H334" s="45"/>
      <c r="I334" s="37" t="s">
        <v>661</v>
      </c>
    </row>
    <row r="335" spans="1:9" ht="38.25" x14ac:dyDescent="0.25">
      <c r="A335" s="31"/>
      <c r="B335" s="74"/>
      <c r="C335" s="45"/>
      <c r="D335" s="45"/>
      <c r="E335" s="11">
        <v>822791</v>
      </c>
      <c r="F335" s="42"/>
      <c r="G335" s="42"/>
      <c r="H335" s="42"/>
      <c r="I335" s="74" t="s">
        <v>571</v>
      </c>
    </row>
    <row r="336" spans="1:9" ht="25.5" hidden="1" x14ac:dyDescent="0.25">
      <c r="A336" s="31"/>
      <c r="B336" s="74"/>
      <c r="C336" s="45"/>
      <c r="D336" s="45"/>
      <c r="E336" s="42"/>
      <c r="F336" s="42"/>
      <c r="G336" s="42">
        <v>4000</v>
      </c>
      <c r="H336" s="42">
        <v>4000</v>
      </c>
      <c r="I336" s="74" t="s">
        <v>338</v>
      </c>
    </row>
    <row r="337" spans="1:9" ht="76.5" x14ac:dyDescent="0.25">
      <c r="A337" s="31"/>
      <c r="B337" s="74"/>
      <c r="C337" s="45"/>
      <c r="D337" s="45"/>
      <c r="E337" s="42">
        <v>1463872</v>
      </c>
      <c r="F337" s="42"/>
      <c r="G337" s="42">
        <v>707000</v>
      </c>
      <c r="H337" s="42"/>
      <c r="I337" s="44" t="s">
        <v>602</v>
      </c>
    </row>
    <row r="338" spans="1:9" ht="25.5" x14ac:dyDescent="0.25">
      <c r="A338" s="31"/>
      <c r="B338" s="113" t="s">
        <v>3</v>
      </c>
      <c r="C338" s="36">
        <v>0</v>
      </c>
      <c r="D338" s="36">
        <v>0</v>
      </c>
      <c r="E338" s="36">
        <v>321690</v>
      </c>
      <c r="F338" s="36">
        <v>0</v>
      </c>
      <c r="G338" s="36">
        <v>0</v>
      </c>
      <c r="H338" s="36">
        <v>0</v>
      </c>
      <c r="I338" s="37"/>
    </row>
    <row r="339" spans="1:9" ht="38.25" x14ac:dyDescent="0.25">
      <c r="A339" s="31"/>
      <c r="B339" s="74"/>
      <c r="C339" s="45"/>
      <c r="D339" s="45"/>
      <c r="E339" s="11">
        <v>321690</v>
      </c>
      <c r="F339" s="42"/>
      <c r="G339" s="42"/>
      <c r="H339" s="42"/>
      <c r="I339" s="74" t="s">
        <v>571</v>
      </c>
    </row>
    <row r="340" spans="1:9" ht="25.5" x14ac:dyDescent="0.25">
      <c r="A340" s="31"/>
      <c r="B340" s="113" t="s">
        <v>51</v>
      </c>
      <c r="C340" s="36">
        <v>0</v>
      </c>
      <c r="D340" s="36">
        <v>0</v>
      </c>
      <c r="E340" s="36">
        <v>951599</v>
      </c>
      <c r="F340" s="36">
        <v>0</v>
      </c>
      <c r="G340" s="36">
        <v>1349695</v>
      </c>
      <c r="H340" s="36">
        <v>126200</v>
      </c>
      <c r="I340" s="107"/>
    </row>
    <row r="341" spans="1:9" ht="38.25" x14ac:dyDescent="0.25">
      <c r="A341" s="31"/>
      <c r="B341" s="37"/>
      <c r="C341" s="45"/>
      <c r="D341" s="45"/>
      <c r="E341" s="22">
        <v>712999</v>
      </c>
      <c r="F341" s="45"/>
      <c r="G341" s="45"/>
      <c r="H341" s="45"/>
      <c r="I341" s="74" t="s">
        <v>571</v>
      </c>
    </row>
    <row r="342" spans="1:9" ht="38.25" hidden="1" x14ac:dyDescent="0.25">
      <c r="A342" s="31"/>
      <c r="B342" s="37"/>
      <c r="C342" s="45"/>
      <c r="D342" s="45"/>
      <c r="E342" s="45"/>
      <c r="F342" s="45"/>
      <c r="G342" s="45">
        <v>110900</v>
      </c>
      <c r="H342" s="45">
        <v>110900</v>
      </c>
      <c r="I342" s="74" t="s">
        <v>340</v>
      </c>
    </row>
    <row r="343" spans="1:9" ht="25.5" x14ac:dyDescent="0.25">
      <c r="A343" s="31"/>
      <c r="B343" s="37"/>
      <c r="C343" s="45"/>
      <c r="D343" s="45"/>
      <c r="E343" s="45">
        <v>33600</v>
      </c>
      <c r="F343" s="45"/>
      <c r="G343" s="45"/>
      <c r="H343" s="45"/>
      <c r="I343" s="74" t="s">
        <v>341</v>
      </c>
    </row>
    <row r="344" spans="1:9" ht="76.5" x14ac:dyDescent="0.25">
      <c r="A344" s="31"/>
      <c r="B344" s="37"/>
      <c r="C344" s="45"/>
      <c r="D344" s="45"/>
      <c r="E344" s="45">
        <v>205000</v>
      </c>
      <c r="F344" s="45"/>
      <c r="G344" s="45"/>
      <c r="H344" s="45"/>
      <c r="I344" s="74" t="s">
        <v>343</v>
      </c>
    </row>
    <row r="345" spans="1:9" ht="25.5" hidden="1" x14ac:dyDescent="0.25">
      <c r="A345" s="31"/>
      <c r="B345" s="37"/>
      <c r="C345" s="45"/>
      <c r="D345" s="45"/>
      <c r="E345" s="45"/>
      <c r="F345" s="45"/>
      <c r="G345" s="45">
        <v>15300</v>
      </c>
      <c r="H345" s="45">
        <v>15300</v>
      </c>
      <c r="I345" s="74" t="s">
        <v>338</v>
      </c>
    </row>
    <row r="346" spans="1:9" ht="114.75" hidden="1" x14ac:dyDescent="0.25">
      <c r="A346" s="31"/>
      <c r="B346" s="37"/>
      <c r="C346" s="45"/>
      <c r="D346" s="45"/>
      <c r="E346" s="45"/>
      <c r="F346" s="45"/>
      <c r="G346" s="45">
        <v>1223495</v>
      </c>
      <c r="H346" s="45"/>
      <c r="I346" s="43" t="s">
        <v>523</v>
      </c>
    </row>
    <row r="347" spans="1:9" ht="38.25" x14ac:dyDescent="0.25">
      <c r="A347" s="31"/>
      <c r="B347" s="113" t="s">
        <v>35</v>
      </c>
      <c r="C347" s="36">
        <v>0</v>
      </c>
      <c r="D347" s="36">
        <v>0</v>
      </c>
      <c r="E347" s="36">
        <v>655084</v>
      </c>
      <c r="F347" s="36">
        <v>0</v>
      </c>
      <c r="G347" s="36">
        <v>0</v>
      </c>
      <c r="H347" s="36">
        <v>0</v>
      </c>
      <c r="I347" s="107"/>
    </row>
    <row r="348" spans="1:9" ht="38.25" x14ac:dyDescent="0.25">
      <c r="A348" s="31"/>
      <c r="B348" s="37"/>
      <c r="C348" s="45"/>
      <c r="D348" s="45"/>
      <c r="E348" s="22">
        <v>625084</v>
      </c>
      <c r="F348" s="45"/>
      <c r="G348" s="45"/>
      <c r="H348" s="45"/>
      <c r="I348" s="74" t="s">
        <v>571</v>
      </c>
    </row>
    <row r="349" spans="1:9" ht="25.5" x14ac:dyDescent="0.25">
      <c r="A349" s="31"/>
      <c r="B349" s="37"/>
      <c r="C349" s="45"/>
      <c r="D349" s="45"/>
      <c r="E349" s="45">
        <v>30000</v>
      </c>
      <c r="F349" s="45"/>
      <c r="G349" s="45"/>
      <c r="H349" s="45"/>
      <c r="I349" s="74" t="s">
        <v>575</v>
      </c>
    </row>
    <row r="350" spans="1:9" ht="63.75" x14ac:dyDescent="0.25">
      <c r="A350" s="31"/>
      <c r="B350" s="113" t="s">
        <v>121</v>
      </c>
      <c r="C350" s="36">
        <v>0</v>
      </c>
      <c r="D350" s="36">
        <v>0</v>
      </c>
      <c r="E350" s="36">
        <v>2903268</v>
      </c>
      <c r="F350" s="36">
        <v>0</v>
      </c>
      <c r="G350" s="36">
        <v>90000</v>
      </c>
      <c r="H350" s="36">
        <v>90000</v>
      </c>
      <c r="I350" s="107"/>
    </row>
    <row r="351" spans="1:9" ht="38.25" x14ac:dyDescent="0.25">
      <c r="A351" s="31"/>
      <c r="B351" s="37"/>
      <c r="C351" s="45"/>
      <c r="D351" s="45"/>
      <c r="E351" s="22">
        <v>544268</v>
      </c>
      <c r="F351" s="45"/>
      <c r="G351" s="45"/>
      <c r="H351" s="45"/>
      <c r="I351" s="74" t="s">
        <v>571</v>
      </c>
    </row>
    <row r="352" spans="1:9" ht="51" x14ac:dyDescent="0.25">
      <c r="A352" s="31"/>
      <c r="B352" s="37"/>
      <c r="C352" s="45"/>
      <c r="D352" s="45"/>
      <c r="E352" s="22">
        <v>2359000</v>
      </c>
      <c r="F352" s="45"/>
      <c r="G352" s="45"/>
      <c r="H352" s="45"/>
      <c r="I352" s="48" t="s">
        <v>344</v>
      </c>
    </row>
    <row r="353" spans="1:9" ht="38.25" hidden="1" x14ac:dyDescent="0.25">
      <c r="A353" s="31"/>
      <c r="B353" s="37"/>
      <c r="C353" s="45"/>
      <c r="D353" s="45"/>
      <c r="E353" s="45"/>
      <c r="F353" s="45"/>
      <c r="G353" s="45">
        <v>90000</v>
      </c>
      <c r="H353" s="45">
        <v>90000</v>
      </c>
      <c r="I353" s="48" t="s">
        <v>345</v>
      </c>
    </row>
    <row r="354" spans="1:9" ht="25.5" x14ac:dyDescent="0.25">
      <c r="A354" s="31"/>
      <c r="B354" s="113" t="s">
        <v>41</v>
      </c>
      <c r="C354" s="36">
        <v>0</v>
      </c>
      <c r="D354" s="36">
        <v>0</v>
      </c>
      <c r="E354" s="36">
        <v>1080620</v>
      </c>
      <c r="F354" s="36">
        <v>0</v>
      </c>
      <c r="G354" s="36">
        <v>14710</v>
      </c>
      <c r="H354" s="36">
        <v>14710</v>
      </c>
      <c r="I354" s="107"/>
    </row>
    <row r="355" spans="1:9" ht="38.25" x14ac:dyDescent="0.25">
      <c r="A355" s="31"/>
      <c r="B355" s="37"/>
      <c r="C355" s="45"/>
      <c r="D355" s="45"/>
      <c r="E355" s="22">
        <v>1080620</v>
      </c>
      <c r="F355" s="45"/>
      <c r="G355" s="45"/>
      <c r="H355" s="45"/>
      <c r="I355" s="74" t="s">
        <v>571</v>
      </c>
    </row>
    <row r="356" spans="1:9" ht="25.5" hidden="1" x14ac:dyDescent="0.25">
      <c r="A356" s="31"/>
      <c r="B356" s="37"/>
      <c r="C356" s="45"/>
      <c r="D356" s="45"/>
      <c r="E356" s="45"/>
      <c r="F356" s="45"/>
      <c r="G356" s="45">
        <v>14710</v>
      </c>
      <c r="H356" s="45">
        <v>14710</v>
      </c>
      <c r="I356" s="74" t="s">
        <v>338</v>
      </c>
    </row>
    <row r="357" spans="1:9" ht="89.25" x14ac:dyDescent="0.25">
      <c r="A357" s="31"/>
      <c r="B357" s="113" t="s">
        <v>162</v>
      </c>
      <c r="C357" s="36">
        <v>0</v>
      </c>
      <c r="D357" s="36">
        <v>0</v>
      </c>
      <c r="E357" s="36">
        <v>1469505</v>
      </c>
      <c r="F357" s="36">
        <v>0</v>
      </c>
      <c r="G357" s="36">
        <v>0</v>
      </c>
      <c r="H357" s="36">
        <v>0</v>
      </c>
      <c r="I357" s="108"/>
    </row>
    <row r="358" spans="1:9" ht="140.25" x14ac:dyDescent="0.25">
      <c r="A358" s="31"/>
      <c r="B358" s="37" t="s">
        <v>283</v>
      </c>
      <c r="C358" s="45"/>
      <c r="D358" s="45"/>
      <c r="E358" s="45">
        <v>243600</v>
      </c>
      <c r="F358" s="45"/>
      <c r="G358" s="45"/>
      <c r="H358" s="45"/>
      <c r="I358" s="74" t="s">
        <v>284</v>
      </c>
    </row>
    <row r="359" spans="1:9" ht="38.25" x14ac:dyDescent="0.25">
      <c r="A359" s="31"/>
      <c r="B359" s="35"/>
      <c r="C359" s="36"/>
      <c r="D359" s="36"/>
      <c r="E359" s="22">
        <v>1105905</v>
      </c>
      <c r="F359" s="45"/>
      <c r="G359" s="45"/>
      <c r="H359" s="45"/>
      <c r="I359" s="74" t="s">
        <v>571</v>
      </c>
    </row>
    <row r="360" spans="1:9" ht="38.25" x14ac:dyDescent="0.25">
      <c r="A360" s="31"/>
      <c r="B360" s="74"/>
      <c r="C360" s="45"/>
      <c r="D360" s="45"/>
      <c r="E360" s="45">
        <v>120000</v>
      </c>
      <c r="F360" s="45"/>
      <c r="G360" s="45"/>
      <c r="H360" s="45"/>
      <c r="I360" s="48" t="s">
        <v>347</v>
      </c>
    </row>
    <row r="361" spans="1:9" ht="51" x14ac:dyDescent="0.25">
      <c r="A361" s="31"/>
      <c r="B361" s="113" t="s">
        <v>57</v>
      </c>
      <c r="C361" s="36">
        <v>0</v>
      </c>
      <c r="D361" s="36">
        <v>0</v>
      </c>
      <c r="E361" s="36">
        <v>1016242</v>
      </c>
      <c r="F361" s="36">
        <v>79435</v>
      </c>
      <c r="G361" s="36">
        <v>0</v>
      </c>
      <c r="H361" s="36">
        <v>0</v>
      </c>
      <c r="I361" s="108"/>
    </row>
    <row r="362" spans="1:9" ht="38.25" x14ac:dyDescent="0.25">
      <c r="A362" s="31"/>
      <c r="B362" s="35"/>
      <c r="C362" s="36"/>
      <c r="D362" s="36"/>
      <c r="E362" s="22">
        <v>729342</v>
      </c>
      <c r="F362" s="45"/>
      <c r="G362" s="45"/>
      <c r="H362" s="45"/>
      <c r="I362" s="74" t="s">
        <v>571</v>
      </c>
    </row>
    <row r="363" spans="1:9" ht="38.25" x14ac:dyDescent="0.25">
      <c r="A363" s="31"/>
      <c r="B363" s="35"/>
      <c r="C363" s="36"/>
      <c r="D363" s="36"/>
      <c r="E363" s="22">
        <v>286900</v>
      </c>
      <c r="F363" s="45"/>
      <c r="G363" s="45"/>
      <c r="H363" s="45"/>
      <c r="I363" s="74" t="s">
        <v>349</v>
      </c>
    </row>
    <row r="364" spans="1:9" ht="25.5" hidden="1" x14ac:dyDescent="0.25">
      <c r="A364" s="31"/>
      <c r="B364" s="35"/>
      <c r="C364" s="36"/>
      <c r="D364" s="36"/>
      <c r="E364" s="45"/>
      <c r="F364" s="45">
        <v>79435</v>
      </c>
      <c r="G364" s="45"/>
      <c r="H364" s="45"/>
      <c r="I364" s="74" t="s">
        <v>350</v>
      </c>
    </row>
    <row r="365" spans="1:9" ht="51" x14ac:dyDescent="0.25">
      <c r="A365" s="31"/>
      <c r="B365" s="115" t="s">
        <v>44</v>
      </c>
      <c r="C365" s="36">
        <v>0</v>
      </c>
      <c r="D365" s="36">
        <v>0</v>
      </c>
      <c r="E365" s="36">
        <v>3989021</v>
      </c>
      <c r="F365" s="36">
        <v>0</v>
      </c>
      <c r="G365" s="36">
        <v>1175000</v>
      </c>
      <c r="H365" s="36">
        <v>0</v>
      </c>
      <c r="I365" s="108"/>
    </row>
    <row r="366" spans="1:9" ht="38.25" x14ac:dyDescent="0.25">
      <c r="A366" s="31"/>
      <c r="B366" s="63"/>
      <c r="C366" s="36"/>
      <c r="D366" s="36"/>
      <c r="E366" s="22">
        <v>621337</v>
      </c>
      <c r="F366" s="36"/>
      <c r="G366" s="36"/>
      <c r="H366" s="36"/>
      <c r="I366" s="74" t="s">
        <v>571</v>
      </c>
    </row>
    <row r="367" spans="1:9" ht="25.5" x14ac:dyDescent="0.25">
      <c r="A367" s="31"/>
      <c r="B367" s="63"/>
      <c r="C367" s="45"/>
      <c r="D367" s="45"/>
      <c r="E367" s="45">
        <v>3046184</v>
      </c>
      <c r="F367" s="45"/>
      <c r="G367" s="45"/>
      <c r="H367" s="45"/>
      <c r="I367" s="37" t="s">
        <v>351</v>
      </c>
    </row>
    <row r="368" spans="1:9" ht="51" hidden="1" x14ac:dyDescent="0.25">
      <c r="A368" s="31"/>
      <c r="B368" s="63"/>
      <c r="C368" s="45"/>
      <c r="D368" s="45"/>
      <c r="E368" s="45"/>
      <c r="F368" s="45"/>
      <c r="G368" s="45">
        <v>1175000</v>
      </c>
      <c r="H368" s="45"/>
      <c r="I368" s="74" t="s">
        <v>352</v>
      </c>
    </row>
    <row r="369" spans="1:9" ht="51" x14ac:dyDescent="0.25">
      <c r="A369" s="31"/>
      <c r="B369" s="63"/>
      <c r="C369" s="45"/>
      <c r="D369" s="45"/>
      <c r="E369" s="45">
        <v>200000</v>
      </c>
      <c r="F369" s="45"/>
      <c r="G369" s="45"/>
      <c r="H369" s="45"/>
      <c r="I369" s="74" t="s">
        <v>353</v>
      </c>
    </row>
    <row r="370" spans="1:9" ht="51" x14ac:dyDescent="0.25">
      <c r="A370" s="31"/>
      <c r="B370" s="63"/>
      <c r="C370" s="45"/>
      <c r="D370" s="45"/>
      <c r="E370" s="45">
        <v>100000</v>
      </c>
      <c r="F370" s="45"/>
      <c r="G370" s="45"/>
      <c r="H370" s="45"/>
      <c r="I370" s="74" t="s">
        <v>354</v>
      </c>
    </row>
    <row r="371" spans="1:9" ht="25.5" x14ac:dyDescent="0.25">
      <c r="A371" s="31"/>
      <c r="B371" s="63"/>
      <c r="C371" s="45"/>
      <c r="D371" s="45"/>
      <c r="E371" s="45">
        <v>21500</v>
      </c>
      <c r="F371" s="45"/>
      <c r="G371" s="45"/>
      <c r="H371" s="45"/>
      <c r="I371" s="74" t="s">
        <v>355</v>
      </c>
    </row>
    <row r="372" spans="1:9" ht="25.5" x14ac:dyDescent="0.25">
      <c r="A372" s="31"/>
      <c r="B372" s="115" t="s">
        <v>356</v>
      </c>
      <c r="C372" s="36">
        <v>0</v>
      </c>
      <c r="D372" s="36">
        <v>0</v>
      </c>
      <c r="E372" s="36">
        <v>253621</v>
      </c>
      <c r="F372" s="36">
        <v>0</v>
      </c>
      <c r="G372" s="36">
        <v>200000</v>
      </c>
      <c r="H372" s="36">
        <v>200000</v>
      </c>
      <c r="I372" s="108"/>
    </row>
    <row r="373" spans="1:9" ht="38.25" x14ac:dyDescent="0.25">
      <c r="A373" s="31"/>
      <c r="B373" s="63"/>
      <c r="C373" s="36"/>
      <c r="D373" s="36"/>
      <c r="E373" s="22">
        <v>253621</v>
      </c>
      <c r="F373" s="45"/>
      <c r="G373" s="45"/>
      <c r="H373" s="45"/>
      <c r="I373" s="74" t="s">
        <v>571</v>
      </c>
    </row>
    <row r="374" spans="1:9" ht="25.5" hidden="1" x14ac:dyDescent="0.25">
      <c r="A374" s="31"/>
      <c r="B374" s="63"/>
      <c r="C374" s="36"/>
      <c r="D374" s="36"/>
      <c r="E374" s="45"/>
      <c r="F374" s="45"/>
      <c r="G374" s="45">
        <v>200000</v>
      </c>
      <c r="H374" s="45">
        <v>200000</v>
      </c>
      <c r="I374" s="74" t="s">
        <v>357</v>
      </c>
    </row>
    <row r="375" spans="1:9" ht="25.5" x14ac:dyDescent="0.25">
      <c r="A375" s="31"/>
      <c r="B375" s="118" t="s">
        <v>226</v>
      </c>
      <c r="C375" s="36">
        <v>0</v>
      </c>
      <c r="D375" s="36">
        <v>0</v>
      </c>
      <c r="E375" s="36">
        <v>522530</v>
      </c>
      <c r="F375" s="36">
        <v>0</v>
      </c>
      <c r="G375" s="36">
        <v>1001500</v>
      </c>
      <c r="H375" s="36">
        <v>1001500</v>
      </c>
      <c r="I375" s="108"/>
    </row>
    <row r="376" spans="1:9" ht="38.25" x14ac:dyDescent="0.25">
      <c r="A376" s="31"/>
      <c r="B376" s="63"/>
      <c r="C376" s="45"/>
      <c r="D376" s="45"/>
      <c r="E376" s="22">
        <v>522530</v>
      </c>
      <c r="F376" s="45"/>
      <c r="G376" s="45"/>
      <c r="H376" s="45"/>
      <c r="I376" s="74" t="s">
        <v>571</v>
      </c>
    </row>
    <row r="377" spans="1:9" ht="25.5" hidden="1" x14ac:dyDescent="0.25">
      <c r="A377" s="31"/>
      <c r="B377" s="63"/>
      <c r="C377" s="45"/>
      <c r="D377" s="45"/>
      <c r="E377" s="45"/>
      <c r="F377" s="45"/>
      <c r="G377" s="45">
        <v>1500</v>
      </c>
      <c r="H377" s="45">
        <v>1500</v>
      </c>
      <c r="I377" s="74" t="s">
        <v>358</v>
      </c>
    </row>
    <row r="378" spans="1:9" ht="51" hidden="1" x14ac:dyDescent="0.25">
      <c r="A378" s="31"/>
      <c r="B378" s="63"/>
      <c r="C378" s="45"/>
      <c r="D378" s="45"/>
      <c r="E378" s="45"/>
      <c r="F378" s="45"/>
      <c r="G378" s="45">
        <v>1000000</v>
      </c>
      <c r="H378" s="45">
        <v>1000000</v>
      </c>
      <c r="I378" s="74" t="s">
        <v>359</v>
      </c>
    </row>
    <row r="379" spans="1:9" ht="25.5" x14ac:dyDescent="0.25">
      <c r="A379" s="31"/>
      <c r="B379" s="118" t="s">
        <v>360</v>
      </c>
      <c r="C379" s="36">
        <v>0</v>
      </c>
      <c r="D379" s="36">
        <v>0</v>
      </c>
      <c r="E379" s="36">
        <v>4346618</v>
      </c>
      <c r="F379" s="36">
        <v>0</v>
      </c>
      <c r="G379" s="36">
        <v>0</v>
      </c>
      <c r="H379" s="36">
        <v>0</v>
      </c>
      <c r="I379" s="108"/>
    </row>
    <row r="380" spans="1:9" ht="63.75" x14ac:dyDescent="0.25">
      <c r="A380" s="31"/>
      <c r="B380" s="109"/>
      <c r="C380" s="45"/>
      <c r="D380" s="45"/>
      <c r="E380" s="22">
        <v>1786073</v>
      </c>
      <c r="F380" s="45"/>
      <c r="G380" s="45"/>
      <c r="H380" s="45"/>
      <c r="I380" s="108" t="s">
        <v>361</v>
      </c>
    </row>
    <row r="381" spans="1:9" ht="38.25" x14ac:dyDescent="0.25">
      <c r="A381" s="31"/>
      <c r="B381" s="63"/>
      <c r="C381" s="45"/>
      <c r="D381" s="45"/>
      <c r="E381" s="22">
        <v>2560545</v>
      </c>
      <c r="F381" s="45"/>
      <c r="G381" s="45"/>
      <c r="H381" s="45"/>
      <c r="I381" s="74" t="s">
        <v>571</v>
      </c>
    </row>
    <row r="382" spans="1:9" ht="25.5" x14ac:dyDescent="0.25">
      <c r="A382" s="31"/>
      <c r="B382" s="115" t="s">
        <v>36</v>
      </c>
      <c r="C382" s="59">
        <v>63838100</v>
      </c>
      <c r="D382" s="59">
        <v>0</v>
      </c>
      <c r="E382" s="59">
        <v>9841570</v>
      </c>
      <c r="F382" s="59">
        <v>0</v>
      </c>
      <c r="G382" s="59">
        <v>14204968</v>
      </c>
      <c r="H382" s="59">
        <v>14125031</v>
      </c>
      <c r="I382" s="37"/>
    </row>
    <row r="383" spans="1:9" ht="38.25" x14ac:dyDescent="0.25">
      <c r="A383" s="31"/>
      <c r="B383" s="74"/>
      <c r="C383" s="110"/>
      <c r="D383" s="110"/>
      <c r="E383" s="26">
        <v>2963047</v>
      </c>
      <c r="F383" s="110"/>
      <c r="G383" s="110"/>
      <c r="H383" s="110"/>
      <c r="I383" s="74" t="s">
        <v>571</v>
      </c>
    </row>
    <row r="384" spans="1:9" ht="63.75" x14ac:dyDescent="0.25">
      <c r="A384" s="31"/>
      <c r="B384" s="74" t="s">
        <v>362</v>
      </c>
      <c r="C384" s="110"/>
      <c r="D384" s="110"/>
      <c r="E384" s="26">
        <v>2598603</v>
      </c>
      <c r="F384" s="110"/>
      <c r="G384" s="110"/>
      <c r="H384" s="110"/>
      <c r="I384" s="119" t="s">
        <v>576</v>
      </c>
    </row>
    <row r="385" spans="1:9" ht="76.5" x14ac:dyDescent="0.25">
      <c r="A385" s="31"/>
      <c r="B385" s="66" t="s">
        <v>365</v>
      </c>
      <c r="C385" s="110"/>
      <c r="D385" s="110"/>
      <c r="E385" s="110">
        <v>218427</v>
      </c>
      <c r="F385" s="110"/>
      <c r="G385" s="110">
        <v>9300</v>
      </c>
      <c r="H385" s="110">
        <v>9300</v>
      </c>
      <c r="I385" s="119" t="s">
        <v>577</v>
      </c>
    </row>
    <row r="386" spans="1:9" ht="127.5" hidden="1" x14ac:dyDescent="0.25">
      <c r="A386" s="31"/>
      <c r="B386" s="66" t="s">
        <v>367</v>
      </c>
      <c r="C386" s="110"/>
      <c r="D386" s="110"/>
      <c r="E386" s="110"/>
      <c r="F386" s="110"/>
      <c r="G386" s="110">
        <v>11260000</v>
      </c>
      <c r="H386" s="110">
        <v>11260000</v>
      </c>
      <c r="I386" s="119" t="s">
        <v>578</v>
      </c>
    </row>
    <row r="387" spans="1:9" ht="38.25" hidden="1" x14ac:dyDescent="0.25">
      <c r="A387" s="31"/>
      <c r="B387" s="66"/>
      <c r="C387" s="110">
        <v>8838100</v>
      </c>
      <c r="D387" s="110"/>
      <c r="E387" s="110"/>
      <c r="F387" s="110"/>
      <c r="G387" s="110"/>
      <c r="H387" s="110"/>
      <c r="I387" s="119" t="s">
        <v>579</v>
      </c>
    </row>
    <row r="388" spans="1:9" ht="25.5" hidden="1" x14ac:dyDescent="0.25">
      <c r="A388" s="31"/>
      <c r="B388" s="66" t="s">
        <v>368</v>
      </c>
      <c r="C388" s="110"/>
      <c r="D388" s="110"/>
      <c r="E388" s="110"/>
      <c r="F388" s="110"/>
      <c r="G388" s="110">
        <v>108191</v>
      </c>
      <c r="H388" s="110">
        <v>108191</v>
      </c>
      <c r="I388" s="119" t="s">
        <v>580</v>
      </c>
    </row>
    <row r="389" spans="1:9" ht="76.5" x14ac:dyDescent="0.25">
      <c r="A389" s="31"/>
      <c r="B389" s="111" t="s">
        <v>369</v>
      </c>
      <c r="C389" s="110"/>
      <c r="D389" s="110"/>
      <c r="E389" s="61">
        <v>1673913</v>
      </c>
      <c r="F389" s="110"/>
      <c r="G389" s="110">
        <v>79937</v>
      </c>
      <c r="H389" s="110"/>
      <c r="I389" s="119" t="s">
        <v>581</v>
      </c>
    </row>
    <row r="390" spans="1:9" ht="153" hidden="1" x14ac:dyDescent="0.25">
      <c r="A390" s="31"/>
      <c r="B390" s="66" t="s">
        <v>370</v>
      </c>
      <c r="C390" s="110">
        <v>55000000</v>
      </c>
      <c r="D390" s="110"/>
      <c r="E390" s="110"/>
      <c r="F390" s="110"/>
      <c r="G390" s="110"/>
      <c r="H390" s="110"/>
      <c r="I390" s="119" t="s">
        <v>582</v>
      </c>
    </row>
    <row r="391" spans="1:9" ht="51" hidden="1" x14ac:dyDescent="0.25">
      <c r="A391" s="31"/>
      <c r="B391" s="74" t="s">
        <v>362</v>
      </c>
      <c r="C391" s="110"/>
      <c r="D391" s="110"/>
      <c r="E391" s="110"/>
      <c r="F391" s="110"/>
      <c r="G391" s="110">
        <v>658540</v>
      </c>
      <c r="H391" s="110">
        <v>658540</v>
      </c>
      <c r="I391" s="108" t="s">
        <v>371</v>
      </c>
    </row>
    <row r="392" spans="1:9" ht="51" x14ac:dyDescent="0.25">
      <c r="A392" s="31"/>
      <c r="B392" s="74" t="s">
        <v>362</v>
      </c>
      <c r="C392" s="110"/>
      <c r="D392" s="110"/>
      <c r="E392" s="110">
        <v>1087580</v>
      </c>
      <c r="F392" s="110"/>
      <c r="G392" s="110"/>
      <c r="H392" s="110"/>
      <c r="I392" s="48" t="s">
        <v>372</v>
      </c>
    </row>
    <row r="393" spans="1:9" ht="51" x14ac:dyDescent="0.25">
      <c r="A393" s="31"/>
      <c r="B393" s="74" t="s">
        <v>373</v>
      </c>
      <c r="C393" s="110"/>
      <c r="D393" s="110"/>
      <c r="E393" s="110">
        <v>1300000</v>
      </c>
      <c r="F393" s="110"/>
      <c r="G393" s="110"/>
      <c r="H393" s="110"/>
      <c r="I393" s="48" t="s">
        <v>584</v>
      </c>
    </row>
    <row r="394" spans="1:9" ht="127.5" hidden="1" x14ac:dyDescent="0.25">
      <c r="A394" s="31"/>
      <c r="B394" s="74" t="s">
        <v>362</v>
      </c>
      <c r="C394" s="110"/>
      <c r="D394" s="110"/>
      <c r="E394" s="110"/>
      <c r="F394" s="110"/>
      <c r="G394" s="110">
        <v>2089000</v>
      </c>
      <c r="H394" s="110">
        <v>2089000</v>
      </c>
      <c r="I394" s="108" t="s">
        <v>374</v>
      </c>
    </row>
    <row r="395" spans="1:9" ht="15.75" x14ac:dyDescent="0.25">
      <c r="A395" s="31"/>
      <c r="B395" s="74"/>
      <c r="C395" s="110"/>
      <c r="D395" s="110"/>
      <c r="E395" s="147">
        <v>1580550</v>
      </c>
      <c r="F395" s="110"/>
      <c r="G395" s="110"/>
      <c r="H395" s="110"/>
      <c r="I395" s="18"/>
    </row>
    <row r="396" spans="1:9" ht="15.75" hidden="1" x14ac:dyDescent="0.25">
      <c r="A396" s="31"/>
      <c r="B396" s="74"/>
      <c r="C396" s="110"/>
      <c r="D396" s="110"/>
      <c r="E396" s="110"/>
      <c r="F396" s="110"/>
      <c r="G396" s="147">
        <v>607730</v>
      </c>
      <c r="H396" s="147">
        <v>607730</v>
      </c>
      <c r="I396" s="18"/>
    </row>
    <row r="397" spans="1:9" ht="63.75" x14ac:dyDescent="0.25">
      <c r="A397" s="31"/>
      <c r="B397" s="115" t="s">
        <v>165</v>
      </c>
      <c r="C397" s="59">
        <v>0</v>
      </c>
      <c r="D397" s="59">
        <v>0</v>
      </c>
      <c r="E397" s="59">
        <v>255539</v>
      </c>
      <c r="F397" s="59">
        <v>0</v>
      </c>
      <c r="G397" s="59">
        <v>10000</v>
      </c>
      <c r="H397" s="59">
        <v>10000</v>
      </c>
      <c r="I397" s="136"/>
    </row>
    <row r="398" spans="1:9" ht="38.25" x14ac:dyDescent="0.25">
      <c r="A398" s="31"/>
      <c r="B398" s="74"/>
      <c r="C398" s="110"/>
      <c r="D398" s="110"/>
      <c r="E398" s="26">
        <v>255539</v>
      </c>
      <c r="F398" s="110"/>
      <c r="G398" s="110"/>
      <c r="H398" s="110"/>
      <c r="I398" s="48" t="s">
        <v>571</v>
      </c>
    </row>
    <row r="399" spans="1:9" ht="25.5" hidden="1" x14ac:dyDescent="0.25">
      <c r="A399" s="31"/>
      <c r="B399" s="74"/>
      <c r="C399" s="110"/>
      <c r="D399" s="110"/>
      <c r="E399" s="110"/>
      <c r="F399" s="110"/>
      <c r="G399" s="110">
        <v>10000</v>
      </c>
      <c r="H399" s="110">
        <v>10000</v>
      </c>
      <c r="I399" s="48" t="s">
        <v>375</v>
      </c>
    </row>
    <row r="400" spans="1:9" ht="25.5" x14ac:dyDescent="0.25">
      <c r="A400" s="31"/>
      <c r="B400" s="115" t="s">
        <v>376</v>
      </c>
      <c r="C400" s="59">
        <v>0</v>
      </c>
      <c r="D400" s="59">
        <v>0</v>
      </c>
      <c r="E400" s="59">
        <v>886748</v>
      </c>
      <c r="F400" s="59">
        <v>0</v>
      </c>
      <c r="G400" s="59">
        <v>0</v>
      </c>
      <c r="H400" s="59">
        <v>0</v>
      </c>
      <c r="I400" s="108"/>
    </row>
    <row r="401" spans="1:9" ht="38.25" x14ac:dyDescent="0.25">
      <c r="A401" s="31"/>
      <c r="B401" s="74"/>
      <c r="C401" s="110"/>
      <c r="D401" s="110"/>
      <c r="E401" s="26">
        <v>725748</v>
      </c>
      <c r="F401" s="110"/>
      <c r="G401" s="110"/>
      <c r="H401" s="110"/>
      <c r="I401" s="48" t="s">
        <v>571</v>
      </c>
    </row>
    <row r="402" spans="1:9" ht="38.25" x14ac:dyDescent="0.25">
      <c r="A402" s="31"/>
      <c r="B402" s="74"/>
      <c r="C402" s="110"/>
      <c r="D402" s="110"/>
      <c r="E402" s="110">
        <v>150000</v>
      </c>
      <c r="F402" s="110"/>
      <c r="G402" s="110"/>
      <c r="H402" s="110"/>
      <c r="I402" s="48" t="s">
        <v>585</v>
      </c>
    </row>
    <row r="403" spans="1:9" ht="25.5" x14ac:dyDescent="0.25">
      <c r="A403" s="31"/>
      <c r="B403" s="74"/>
      <c r="C403" s="110"/>
      <c r="D403" s="110"/>
      <c r="E403" s="110">
        <v>11000</v>
      </c>
      <c r="F403" s="110"/>
      <c r="G403" s="110"/>
      <c r="H403" s="110"/>
      <c r="I403" s="48" t="s">
        <v>586</v>
      </c>
    </row>
    <row r="404" spans="1:9" ht="25.5" x14ac:dyDescent="0.25">
      <c r="A404" s="31"/>
      <c r="B404" s="115" t="s">
        <v>119</v>
      </c>
      <c r="C404" s="59">
        <v>0</v>
      </c>
      <c r="D404" s="59">
        <v>0</v>
      </c>
      <c r="E404" s="59">
        <v>4296510</v>
      </c>
      <c r="F404" s="59">
        <v>0</v>
      </c>
      <c r="G404" s="59">
        <v>3000</v>
      </c>
      <c r="H404" s="59">
        <v>3000</v>
      </c>
      <c r="I404" s="108"/>
    </row>
    <row r="405" spans="1:9" ht="38.25" x14ac:dyDescent="0.25">
      <c r="A405" s="31"/>
      <c r="B405" s="74"/>
      <c r="C405" s="110"/>
      <c r="D405" s="110"/>
      <c r="E405" s="26">
        <v>432260</v>
      </c>
      <c r="F405" s="110"/>
      <c r="G405" s="110"/>
      <c r="H405" s="110"/>
      <c r="I405" s="48" t="s">
        <v>571</v>
      </c>
    </row>
    <row r="406" spans="1:9" ht="38.25" x14ac:dyDescent="0.25">
      <c r="A406" s="31"/>
      <c r="B406" s="74"/>
      <c r="C406" s="110"/>
      <c r="D406" s="110"/>
      <c r="E406" s="110">
        <v>3660700</v>
      </c>
      <c r="F406" s="110"/>
      <c r="G406" s="110"/>
      <c r="H406" s="110"/>
      <c r="I406" s="48" t="s">
        <v>587</v>
      </c>
    </row>
    <row r="407" spans="1:9" ht="63.75" x14ac:dyDescent="0.25">
      <c r="A407" s="31"/>
      <c r="B407" s="74"/>
      <c r="C407" s="110"/>
      <c r="D407" s="110"/>
      <c r="E407" s="110">
        <v>123550</v>
      </c>
      <c r="F407" s="110"/>
      <c r="G407" s="110"/>
      <c r="H407" s="110"/>
      <c r="I407" s="48" t="s">
        <v>379</v>
      </c>
    </row>
    <row r="408" spans="1:9" ht="25.5" x14ac:dyDescent="0.25">
      <c r="A408" s="31"/>
      <c r="B408" s="74"/>
      <c r="C408" s="110"/>
      <c r="D408" s="110"/>
      <c r="E408" s="110">
        <v>80000</v>
      </c>
      <c r="F408" s="110"/>
      <c r="G408" s="110"/>
      <c r="H408" s="110"/>
      <c r="I408" s="48" t="s">
        <v>616</v>
      </c>
    </row>
    <row r="409" spans="1:9" ht="25.5" hidden="1" x14ac:dyDescent="0.25">
      <c r="A409" s="31"/>
      <c r="B409" s="74"/>
      <c r="C409" s="110"/>
      <c r="D409" s="110"/>
      <c r="E409" s="110"/>
      <c r="F409" s="110"/>
      <c r="G409" s="110">
        <v>3000</v>
      </c>
      <c r="H409" s="110">
        <v>3000</v>
      </c>
      <c r="I409" s="48" t="s">
        <v>380</v>
      </c>
    </row>
    <row r="410" spans="1:9" ht="51" x14ac:dyDescent="0.25">
      <c r="A410" s="31"/>
      <c r="B410" s="115" t="s">
        <v>122</v>
      </c>
      <c r="C410" s="59">
        <v>0</v>
      </c>
      <c r="D410" s="59">
        <v>0</v>
      </c>
      <c r="E410" s="59">
        <v>679092</v>
      </c>
      <c r="F410" s="59">
        <v>0</v>
      </c>
      <c r="G410" s="59">
        <v>70000</v>
      </c>
      <c r="H410" s="59">
        <v>70000</v>
      </c>
      <c r="I410" s="108"/>
    </row>
    <row r="411" spans="1:9" ht="38.25" x14ac:dyDescent="0.25">
      <c r="A411" s="31"/>
      <c r="B411" s="74"/>
      <c r="C411" s="110"/>
      <c r="D411" s="110"/>
      <c r="E411" s="26">
        <v>679092</v>
      </c>
      <c r="F411" s="110"/>
      <c r="G411" s="110"/>
      <c r="H411" s="110"/>
      <c r="I411" s="48" t="s">
        <v>571</v>
      </c>
    </row>
    <row r="412" spans="1:9" ht="25.5" hidden="1" x14ac:dyDescent="0.25">
      <c r="A412" s="31"/>
      <c r="B412" s="74"/>
      <c r="C412" s="110"/>
      <c r="D412" s="110"/>
      <c r="E412" s="110"/>
      <c r="F412" s="110"/>
      <c r="G412" s="110">
        <v>70000</v>
      </c>
      <c r="H412" s="110">
        <v>70000</v>
      </c>
      <c r="I412" s="37" t="s">
        <v>588</v>
      </c>
    </row>
    <row r="413" spans="1:9" ht="38.25" x14ac:dyDescent="0.25">
      <c r="A413" s="31"/>
      <c r="B413" s="115" t="s">
        <v>123</v>
      </c>
      <c r="C413" s="59">
        <v>0</v>
      </c>
      <c r="D413" s="59">
        <v>0</v>
      </c>
      <c r="E413" s="59">
        <v>317884</v>
      </c>
      <c r="F413" s="59">
        <v>0</v>
      </c>
      <c r="G413" s="59">
        <v>0</v>
      </c>
      <c r="H413" s="59">
        <v>0</v>
      </c>
      <c r="I413" s="108"/>
    </row>
    <row r="414" spans="1:9" ht="38.25" x14ac:dyDescent="0.25">
      <c r="A414" s="31"/>
      <c r="B414" s="74"/>
      <c r="C414" s="110"/>
      <c r="D414" s="110"/>
      <c r="E414" s="26">
        <v>317884</v>
      </c>
      <c r="F414" s="110"/>
      <c r="G414" s="110"/>
      <c r="H414" s="110"/>
      <c r="I414" s="48" t="s">
        <v>571</v>
      </c>
    </row>
    <row r="415" spans="1:9" ht="51" x14ac:dyDescent="0.25">
      <c r="A415" s="31"/>
      <c r="B415" s="115" t="s">
        <v>29</v>
      </c>
      <c r="C415" s="59">
        <v>0</v>
      </c>
      <c r="D415" s="59">
        <v>0</v>
      </c>
      <c r="E415" s="59">
        <v>1042080</v>
      </c>
      <c r="F415" s="59">
        <v>14573</v>
      </c>
      <c r="G415" s="59">
        <v>0</v>
      </c>
      <c r="H415" s="59">
        <v>0</v>
      </c>
      <c r="I415" s="108"/>
    </row>
    <row r="416" spans="1:9" ht="38.25" x14ac:dyDescent="0.25">
      <c r="A416" s="31"/>
      <c r="B416" s="74"/>
      <c r="C416" s="110"/>
      <c r="D416" s="110"/>
      <c r="E416" s="26">
        <v>355080</v>
      </c>
      <c r="F416" s="110"/>
      <c r="G416" s="110"/>
      <c r="H416" s="110"/>
      <c r="I416" s="48" t="s">
        <v>571</v>
      </c>
    </row>
    <row r="417" spans="1:9" ht="255" x14ac:dyDescent="0.25">
      <c r="A417" s="31"/>
      <c r="B417" s="74"/>
      <c r="C417" s="110"/>
      <c r="D417" s="110"/>
      <c r="E417" s="110">
        <v>687000</v>
      </c>
      <c r="F417" s="110"/>
      <c r="G417" s="110"/>
      <c r="H417" s="110"/>
      <c r="I417" s="137" t="s">
        <v>589</v>
      </c>
    </row>
    <row r="418" spans="1:9" ht="38.25" hidden="1" x14ac:dyDescent="0.25">
      <c r="A418" s="31"/>
      <c r="B418" s="74"/>
      <c r="C418" s="110"/>
      <c r="D418" s="110"/>
      <c r="E418" s="110"/>
      <c r="F418" s="110">
        <v>14573</v>
      </c>
      <c r="G418" s="110"/>
      <c r="H418" s="110"/>
      <c r="I418" s="48" t="s">
        <v>590</v>
      </c>
    </row>
    <row r="419" spans="1:9" ht="38.25" x14ac:dyDescent="0.25">
      <c r="A419" s="31"/>
      <c r="B419" s="115" t="s">
        <v>269</v>
      </c>
      <c r="C419" s="59">
        <v>0</v>
      </c>
      <c r="D419" s="59">
        <v>0</v>
      </c>
      <c r="E419" s="59">
        <v>58033</v>
      </c>
      <c r="F419" s="59">
        <v>0</v>
      </c>
      <c r="G419" s="59">
        <v>3893</v>
      </c>
      <c r="H419" s="59">
        <v>3893</v>
      </c>
      <c r="I419" s="108"/>
    </row>
    <row r="420" spans="1:9" ht="38.25" x14ac:dyDescent="0.25">
      <c r="A420" s="31"/>
      <c r="B420" s="74"/>
      <c r="C420" s="110"/>
      <c r="D420" s="110"/>
      <c r="E420" s="26">
        <v>58033</v>
      </c>
      <c r="F420" s="110"/>
      <c r="G420" s="110"/>
      <c r="H420" s="110"/>
      <c r="I420" s="48" t="s">
        <v>571</v>
      </c>
    </row>
    <row r="421" spans="1:9" ht="25.5" hidden="1" x14ac:dyDescent="0.25">
      <c r="A421" s="31"/>
      <c r="B421" s="74"/>
      <c r="C421" s="110"/>
      <c r="D421" s="110"/>
      <c r="E421" s="110"/>
      <c r="F421" s="110"/>
      <c r="G421" s="110">
        <v>3893</v>
      </c>
      <c r="H421" s="110">
        <v>3893</v>
      </c>
      <c r="I421" s="48" t="s">
        <v>375</v>
      </c>
    </row>
    <row r="422" spans="1:9" ht="51" x14ac:dyDescent="0.25">
      <c r="A422" s="31"/>
      <c r="B422" s="115" t="s">
        <v>124</v>
      </c>
      <c r="C422" s="59">
        <v>0</v>
      </c>
      <c r="D422" s="59">
        <v>0</v>
      </c>
      <c r="E422" s="59">
        <v>242179</v>
      </c>
      <c r="F422" s="59">
        <v>26757</v>
      </c>
      <c r="G422" s="59">
        <v>0</v>
      </c>
      <c r="H422" s="59">
        <v>0</v>
      </c>
      <c r="I422" s="108"/>
    </row>
    <row r="423" spans="1:9" ht="38.25" x14ac:dyDescent="0.25">
      <c r="A423" s="31"/>
      <c r="B423" s="74"/>
      <c r="C423" s="59"/>
      <c r="D423" s="59"/>
      <c r="E423" s="26">
        <v>192179</v>
      </c>
      <c r="F423" s="110"/>
      <c r="G423" s="59"/>
      <c r="H423" s="59"/>
      <c r="I423" s="48" t="s">
        <v>571</v>
      </c>
    </row>
    <row r="424" spans="1:9" ht="25.5" hidden="1" x14ac:dyDescent="0.25">
      <c r="A424" s="31"/>
      <c r="B424" s="74"/>
      <c r="C424" s="110"/>
      <c r="D424" s="110"/>
      <c r="E424" s="110"/>
      <c r="F424" s="110">
        <v>26757</v>
      </c>
      <c r="G424" s="110"/>
      <c r="H424" s="110"/>
      <c r="I424" s="48" t="s">
        <v>382</v>
      </c>
    </row>
    <row r="425" spans="1:9" ht="63.75" x14ac:dyDescent="0.25">
      <c r="A425" s="31"/>
      <c r="B425" s="74"/>
      <c r="C425" s="110"/>
      <c r="D425" s="110"/>
      <c r="E425" s="110">
        <v>50000</v>
      </c>
      <c r="F425" s="110"/>
      <c r="G425" s="110"/>
      <c r="H425" s="110"/>
      <c r="I425" s="48" t="s">
        <v>383</v>
      </c>
    </row>
    <row r="426" spans="1:9" ht="63.75" x14ac:dyDescent="0.25">
      <c r="A426" s="31"/>
      <c r="B426" s="115" t="s">
        <v>125</v>
      </c>
      <c r="C426" s="59">
        <v>0</v>
      </c>
      <c r="D426" s="59">
        <v>0</v>
      </c>
      <c r="E426" s="59">
        <v>752447</v>
      </c>
      <c r="F426" s="59">
        <v>350</v>
      </c>
      <c r="G426" s="59">
        <v>107000</v>
      </c>
      <c r="H426" s="59">
        <v>107000</v>
      </c>
      <c r="I426" s="108"/>
    </row>
    <row r="427" spans="1:9" ht="38.25" x14ac:dyDescent="0.25">
      <c r="A427" s="31"/>
      <c r="B427" s="63"/>
      <c r="C427" s="59"/>
      <c r="D427" s="59"/>
      <c r="E427" s="26">
        <v>752447</v>
      </c>
      <c r="F427" s="110"/>
      <c r="G427" s="110"/>
      <c r="H427" s="110"/>
      <c r="I427" s="48" t="s">
        <v>337</v>
      </c>
    </row>
    <row r="428" spans="1:9" ht="38.25" hidden="1" x14ac:dyDescent="0.25">
      <c r="A428" s="31"/>
      <c r="B428" s="63"/>
      <c r="C428" s="59"/>
      <c r="D428" s="59"/>
      <c r="E428" s="110"/>
      <c r="F428" s="110">
        <v>350</v>
      </c>
      <c r="G428" s="110"/>
      <c r="H428" s="110"/>
      <c r="I428" s="48" t="s">
        <v>590</v>
      </c>
    </row>
    <row r="429" spans="1:9" ht="63.75" hidden="1" x14ac:dyDescent="0.25">
      <c r="A429" s="31"/>
      <c r="B429" s="63"/>
      <c r="C429" s="59"/>
      <c r="D429" s="59"/>
      <c r="E429" s="110"/>
      <c r="F429" s="110"/>
      <c r="G429" s="110">
        <v>102500</v>
      </c>
      <c r="H429" s="110">
        <v>102500</v>
      </c>
      <c r="I429" s="48" t="s">
        <v>592</v>
      </c>
    </row>
    <row r="430" spans="1:9" ht="38.25" hidden="1" x14ac:dyDescent="0.25">
      <c r="A430" s="31"/>
      <c r="B430" s="74"/>
      <c r="C430" s="110"/>
      <c r="D430" s="110"/>
      <c r="E430" s="110"/>
      <c r="F430" s="110"/>
      <c r="G430" s="110">
        <v>4500</v>
      </c>
      <c r="H430" s="110">
        <v>4500</v>
      </c>
      <c r="I430" s="48" t="s">
        <v>384</v>
      </c>
    </row>
    <row r="431" spans="1:9" ht="38.25" x14ac:dyDescent="0.25">
      <c r="A431" s="31"/>
      <c r="B431" s="115" t="s">
        <v>148</v>
      </c>
      <c r="C431" s="59">
        <v>0</v>
      </c>
      <c r="D431" s="59">
        <v>0</v>
      </c>
      <c r="E431" s="59">
        <v>1696477</v>
      </c>
      <c r="F431" s="59">
        <v>0</v>
      </c>
      <c r="G431" s="59">
        <v>0</v>
      </c>
      <c r="H431" s="59">
        <v>0</v>
      </c>
      <c r="I431" s="108"/>
    </row>
    <row r="432" spans="1:9" ht="38.25" x14ac:dyDescent="0.25">
      <c r="A432" s="31"/>
      <c r="B432" s="63"/>
      <c r="C432" s="59"/>
      <c r="D432" s="59"/>
      <c r="E432" s="26">
        <v>1108477</v>
      </c>
      <c r="F432" s="110"/>
      <c r="G432" s="59"/>
      <c r="H432" s="59"/>
      <c r="I432" s="48" t="s">
        <v>571</v>
      </c>
    </row>
    <row r="433" spans="1:9" ht="38.25" x14ac:dyDescent="0.25">
      <c r="A433" s="31"/>
      <c r="B433" s="63"/>
      <c r="C433" s="59"/>
      <c r="D433" s="59"/>
      <c r="E433" s="110">
        <v>210000</v>
      </c>
      <c r="F433" s="110"/>
      <c r="G433" s="59"/>
      <c r="H433" s="59"/>
      <c r="I433" s="48" t="s">
        <v>591</v>
      </c>
    </row>
    <row r="434" spans="1:9" ht="25.5" x14ac:dyDescent="0.25">
      <c r="A434" s="31"/>
      <c r="B434" s="63"/>
      <c r="C434" s="59"/>
      <c r="D434" s="59"/>
      <c r="E434" s="110">
        <v>378000</v>
      </c>
      <c r="F434" s="110"/>
      <c r="G434" s="59"/>
      <c r="H434" s="59"/>
      <c r="I434" s="48" t="s">
        <v>662</v>
      </c>
    </row>
    <row r="435" spans="1:9" ht="38.25" x14ac:dyDescent="0.25">
      <c r="A435" s="31"/>
      <c r="B435" s="115" t="s">
        <v>81</v>
      </c>
      <c r="C435" s="59">
        <v>0</v>
      </c>
      <c r="D435" s="59">
        <v>0</v>
      </c>
      <c r="E435" s="59">
        <v>7273893</v>
      </c>
      <c r="F435" s="59">
        <v>16999</v>
      </c>
      <c r="G435" s="59">
        <v>611379</v>
      </c>
      <c r="H435" s="59">
        <v>546379</v>
      </c>
      <c r="I435" s="37"/>
    </row>
    <row r="436" spans="1:9" ht="38.25" x14ac:dyDescent="0.25">
      <c r="A436" s="31"/>
      <c r="B436" s="74"/>
      <c r="C436" s="110"/>
      <c r="D436" s="110"/>
      <c r="E436" s="26">
        <v>395555</v>
      </c>
      <c r="F436" s="110"/>
      <c r="G436" s="110"/>
      <c r="H436" s="110"/>
      <c r="I436" s="48" t="s">
        <v>571</v>
      </c>
    </row>
    <row r="437" spans="1:9" ht="63.75" hidden="1" x14ac:dyDescent="0.25">
      <c r="A437" s="31"/>
      <c r="B437" s="74"/>
      <c r="C437" s="110"/>
      <c r="D437" s="110"/>
      <c r="E437" s="110"/>
      <c r="F437" s="110"/>
      <c r="G437" s="110">
        <v>65000</v>
      </c>
      <c r="H437" s="110"/>
      <c r="I437" s="37" t="s">
        <v>385</v>
      </c>
    </row>
    <row r="438" spans="1:9" ht="38.25" hidden="1" x14ac:dyDescent="0.25">
      <c r="A438" s="31"/>
      <c r="B438" s="74" t="s">
        <v>386</v>
      </c>
      <c r="C438" s="110"/>
      <c r="D438" s="110"/>
      <c r="E438" s="110"/>
      <c r="F438" s="110">
        <v>16999</v>
      </c>
      <c r="G438" s="110"/>
      <c r="H438" s="110"/>
      <c r="I438" s="37" t="s">
        <v>387</v>
      </c>
    </row>
    <row r="439" spans="1:9" ht="89.25" x14ac:dyDescent="0.25">
      <c r="A439" s="31"/>
      <c r="B439" s="74" t="s">
        <v>388</v>
      </c>
      <c r="C439" s="110"/>
      <c r="D439" s="110"/>
      <c r="E439" s="26">
        <v>6878338</v>
      </c>
      <c r="F439" s="110"/>
      <c r="G439" s="110"/>
      <c r="H439" s="110"/>
      <c r="I439" s="37" t="s">
        <v>389</v>
      </c>
    </row>
    <row r="440" spans="1:9" ht="102" hidden="1" x14ac:dyDescent="0.25">
      <c r="A440" s="31"/>
      <c r="B440" s="74"/>
      <c r="C440" s="110"/>
      <c r="D440" s="110"/>
      <c r="E440" s="110"/>
      <c r="F440" s="110"/>
      <c r="G440" s="110"/>
      <c r="H440" s="110"/>
      <c r="I440" s="37" t="s">
        <v>390</v>
      </c>
    </row>
    <row r="441" spans="1:9" ht="25.5" hidden="1" x14ac:dyDescent="0.25">
      <c r="A441" s="31"/>
      <c r="B441" s="74"/>
      <c r="C441" s="110"/>
      <c r="D441" s="110"/>
      <c r="E441" s="110"/>
      <c r="F441" s="110"/>
      <c r="G441" s="110">
        <v>546379</v>
      </c>
      <c r="H441" s="110">
        <v>546379</v>
      </c>
      <c r="I441" s="37" t="s">
        <v>663</v>
      </c>
    </row>
    <row r="442" spans="1:9" ht="38.25" x14ac:dyDescent="0.25">
      <c r="A442" s="31"/>
      <c r="B442" s="115" t="s">
        <v>31</v>
      </c>
      <c r="C442" s="59">
        <v>0</v>
      </c>
      <c r="D442" s="59">
        <v>0</v>
      </c>
      <c r="E442" s="59">
        <v>370409</v>
      </c>
      <c r="F442" s="59">
        <v>0</v>
      </c>
      <c r="G442" s="59">
        <v>0</v>
      </c>
      <c r="H442" s="59">
        <v>0</v>
      </c>
      <c r="I442" s="37"/>
    </row>
    <row r="443" spans="1:9" ht="38.25" x14ac:dyDescent="0.25">
      <c r="A443" s="31"/>
      <c r="B443" s="74"/>
      <c r="C443" s="110"/>
      <c r="D443" s="110"/>
      <c r="E443" s="26">
        <v>314909</v>
      </c>
      <c r="F443" s="110"/>
      <c r="G443" s="110"/>
      <c r="H443" s="110"/>
      <c r="I443" s="48" t="s">
        <v>571</v>
      </c>
    </row>
    <row r="444" spans="1:9" ht="63.75" x14ac:dyDescent="0.25">
      <c r="A444" s="31"/>
      <c r="B444" s="74"/>
      <c r="C444" s="110"/>
      <c r="D444" s="110"/>
      <c r="E444" s="110">
        <v>55500</v>
      </c>
      <c r="F444" s="110"/>
      <c r="G444" s="110"/>
      <c r="H444" s="110"/>
      <c r="I444" s="37" t="s">
        <v>391</v>
      </c>
    </row>
    <row r="445" spans="1:9" ht="51" x14ac:dyDescent="0.25">
      <c r="A445" s="31"/>
      <c r="B445" s="115" t="s">
        <v>225</v>
      </c>
      <c r="C445" s="59">
        <v>0</v>
      </c>
      <c r="D445" s="59">
        <v>0</v>
      </c>
      <c r="E445" s="59">
        <v>847940</v>
      </c>
      <c r="F445" s="59">
        <v>156225</v>
      </c>
      <c r="G445" s="59">
        <v>0</v>
      </c>
      <c r="H445" s="59">
        <v>0</v>
      </c>
      <c r="I445" s="119"/>
    </row>
    <row r="446" spans="1:9" ht="25.5" x14ac:dyDescent="0.25">
      <c r="A446" s="31"/>
      <c r="B446" s="74"/>
      <c r="C446" s="110"/>
      <c r="D446" s="110"/>
      <c r="E446" s="26">
        <v>507517</v>
      </c>
      <c r="F446" s="110"/>
      <c r="G446" s="110"/>
      <c r="H446" s="110"/>
      <c r="I446" s="119" t="s">
        <v>593</v>
      </c>
    </row>
    <row r="447" spans="1:9" ht="51" x14ac:dyDescent="0.25">
      <c r="A447" s="31"/>
      <c r="B447" s="74"/>
      <c r="C447" s="110"/>
      <c r="D447" s="110"/>
      <c r="E447" s="110">
        <v>340423</v>
      </c>
      <c r="F447" s="110"/>
      <c r="G447" s="112"/>
      <c r="H447" s="112"/>
      <c r="I447" s="48" t="s">
        <v>664</v>
      </c>
    </row>
    <row r="448" spans="1:9" ht="38.25" hidden="1" x14ac:dyDescent="0.25">
      <c r="A448" s="31"/>
      <c r="B448" s="74"/>
      <c r="C448" s="110"/>
      <c r="D448" s="110"/>
      <c r="E448" s="110"/>
      <c r="F448" s="110">
        <v>156225</v>
      </c>
      <c r="G448" s="112"/>
      <c r="H448" s="112"/>
      <c r="I448" s="48" t="s">
        <v>590</v>
      </c>
    </row>
    <row r="449" spans="1:9" ht="25.5" x14ac:dyDescent="0.25">
      <c r="A449" s="31"/>
      <c r="B449" s="115" t="s">
        <v>221</v>
      </c>
      <c r="C449" s="59">
        <v>0</v>
      </c>
      <c r="D449" s="59">
        <v>0</v>
      </c>
      <c r="E449" s="59">
        <v>198588</v>
      </c>
      <c r="F449" s="59">
        <v>0</v>
      </c>
      <c r="G449" s="59">
        <v>3200</v>
      </c>
      <c r="H449" s="59">
        <v>3200</v>
      </c>
      <c r="I449" s="119"/>
    </row>
    <row r="450" spans="1:9" ht="38.25" x14ac:dyDescent="0.25">
      <c r="A450" s="31"/>
      <c r="B450" s="74"/>
      <c r="C450" s="110"/>
      <c r="D450" s="110"/>
      <c r="E450" s="26">
        <v>198588</v>
      </c>
      <c r="F450" s="110"/>
      <c r="G450" s="110"/>
      <c r="H450" s="110"/>
      <c r="I450" s="48" t="s">
        <v>571</v>
      </c>
    </row>
    <row r="451" spans="1:9" ht="38.25" hidden="1" x14ac:dyDescent="0.25">
      <c r="A451" s="31"/>
      <c r="B451" s="74"/>
      <c r="C451" s="110"/>
      <c r="D451" s="110"/>
      <c r="E451" s="110"/>
      <c r="F451" s="110"/>
      <c r="G451" s="110">
        <v>3200</v>
      </c>
      <c r="H451" s="110">
        <v>3200</v>
      </c>
      <c r="I451" s="48" t="s">
        <v>594</v>
      </c>
    </row>
    <row r="452" spans="1:9" ht="25.5" x14ac:dyDescent="0.25">
      <c r="A452" s="31"/>
      <c r="B452" s="115" t="s">
        <v>392</v>
      </c>
      <c r="C452" s="59">
        <v>0</v>
      </c>
      <c r="D452" s="59">
        <v>0</v>
      </c>
      <c r="E452" s="59">
        <v>849940</v>
      </c>
      <c r="F452" s="59">
        <v>0</v>
      </c>
      <c r="G452" s="59">
        <v>0</v>
      </c>
      <c r="H452" s="59">
        <v>0</v>
      </c>
      <c r="I452" s="119"/>
    </row>
    <row r="453" spans="1:9" ht="38.25" x14ac:dyDescent="0.25">
      <c r="A453" s="31"/>
      <c r="B453" s="134"/>
      <c r="C453" s="110"/>
      <c r="D453" s="110"/>
      <c r="E453" s="26">
        <v>154940</v>
      </c>
      <c r="F453" s="110"/>
      <c r="G453" s="110"/>
      <c r="H453" s="110"/>
      <c r="I453" s="48" t="s">
        <v>571</v>
      </c>
    </row>
    <row r="454" spans="1:9" ht="51" x14ac:dyDescent="0.25">
      <c r="A454" s="31"/>
      <c r="B454" s="74"/>
      <c r="C454" s="110"/>
      <c r="D454" s="110"/>
      <c r="E454" s="26">
        <v>695000</v>
      </c>
      <c r="F454" s="110"/>
      <c r="G454" s="110"/>
      <c r="H454" s="110"/>
      <c r="I454" s="48" t="s">
        <v>344</v>
      </c>
    </row>
    <row r="455" spans="1:9" ht="63.75" x14ac:dyDescent="0.25">
      <c r="A455" s="31"/>
      <c r="B455" s="118" t="s">
        <v>143</v>
      </c>
      <c r="C455" s="36">
        <v>0</v>
      </c>
      <c r="D455" s="36">
        <v>0</v>
      </c>
      <c r="E455" s="36">
        <v>148913</v>
      </c>
      <c r="F455" s="36">
        <v>0</v>
      </c>
      <c r="G455" s="36">
        <v>20000</v>
      </c>
      <c r="H455" s="36">
        <v>20000</v>
      </c>
      <c r="I455" s="37"/>
    </row>
    <row r="456" spans="1:9" ht="38.25" x14ac:dyDescent="0.25">
      <c r="A456" s="31"/>
      <c r="B456" s="109"/>
      <c r="C456" s="45"/>
      <c r="D456" s="45"/>
      <c r="E456" s="22">
        <v>148913</v>
      </c>
      <c r="F456" s="45"/>
      <c r="G456" s="45"/>
      <c r="H456" s="45"/>
      <c r="I456" s="48" t="s">
        <v>571</v>
      </c>
    </row>
    <row r="457" spans="1:9" ht="25.5" hidden="1" x14ac:dyDescent="0.25">
      <c r="A457" s="31"/>
      <c r="B457" s="109"/>
      <c r="C457" s="45"/>
      <c r="D457" s="45"/>
      <c r="E457" s="45"/>
      <c r="F457" s="45"/>
      <c r="G457" s="45">
        <v>20000</v>
      </c>
      <c r="H457" s="45">
        <v>20000</v>
      </c>
      <c r="I457" s="48" t="s">
        <v>393</v>
      </c>
    </row>
    <row r="458" spans="1:9" ht="51" x14ac:dyDescent="0.25">
      <c r="A458" s="31"/>
      <c r="B458" s="113" t="s">
        <v>127</v>
      </c>
      <c r="C458" s="82">
        <v>0</v>
      </c>
      <c r="D458" s="82">
        <v>0</v>
      </c>
      <c r="E458" s="82">
        <v>972362</v>
      </c>
      <c r="F458" s="82">
        <v>0</v>
      </c>
      <c r="G458" s="82">
        <v>203000</v>
      </c>
      <c r="H458" s="82">
        <v>3000</v>
      </c>
      <c r="I458" s="37"/>
    </row>
    <row r="459" spans="1:9" ht="38.25" x14ac:dyDescent="0.25">
      <c r="A459" s="31"/>
      <c r="B459" s="35"/>
      <c r="C459" s="84"/>
      <c r="D459" s="84"/>
      <c r="E459" s="17">
        <v>329490</v>
      </c>
      <c r="F459" s="84"/>
      <c r="G459" s="84"/>
      <c r="H459" s="84"/>
      <c r="I459" s="48" t="s">
        <v>571</v>
      </c>
    </row>
    <row r="460" spans="1:9" ht="38.25" x14ac:dyDescent="0.25">
      <c r="A460" s="31"/>
      <c r="B460" s="35"/>
      <c r="C460" s="84"/>
      <c r="D460" s="84"/>
      <c r="E460" s="84">
        <v>257872</v>
      </c>
      <c r="F460" s="84"/>
      <c r="G460" s="84"/>
      <c r="H460" s="84"/>
      <c r="I460" s="37" t="s">
        <v>394</v>
      </c>
    </row>
    <row r="461" spans="1:9" ht="25.5" x14ac:dyDescent="0.25">
      <c r="A461" s="31"/>
      <c r="B461" s="35"/>
      <c r="C461" s="84"/>
      <c r="D461" s="84"/>
      <c r="E461" s="84">
        <v>385000</v>
      </c>
      <c r="F461" s="84"/>
      <c r="G461" s="84"/>
      <c r="H461" s="84"/>
      <c r="I461" s="48" t="s">
        <v>395</v>
      </c>
    </row>
    <row r="462" spans="1:9" ht="63.75" hidden="1" x14ac:dyDescent="0.25">
      <c r="A462" s="31"/>
      <c r="B462" s="35"/>
      <c r="C462" s="84"/>
      <c r="D462" s="84"/>
      <c r="E462" s="84"/>
      <c r="F462" s="84"/>
      <c r="G462" s="84">
        <v>200000</v>
      </c>
      <c r="H462" s="84"/>
      <c r="I462" s="48" t="s">
        <v>396</v>
      </c>
    </row>
    <row r="463" spans="1:9" ht="25.5" hidden="1" x14ac:dyDescent="0.25">
      <c r="A463" s="31"/>
      <c r="B463" s="35"/>
      <c r="C463" s="84"/>
      <c r="D463" s="84"/>
      <c r="E463" s="84"/>
      <c r="F463" s="84"/>
      <c r="G463" s="84">
        <v>3000</v>
      </c>
      <c r="H463" s="84">
        <v>3000</v>
      </c>
      <c r="I463" s="48" t="s">
        <v>375</v>
      </c>
    </row>
    <row r="464" spans="1:9" ht="38.25" x14ac:dyDescent="0.25">
      <c r="A464" s="31"/>
      <c r="B464" s="2" t="s">
        <v>149</v>
      </c>
      <c r="C464" s="82">
        <v>0</v>
      </c>
      <c r="D464" s="82">
        <v>0</v>
      </c>
      <c r="E464" s="82">
        <v>109901</v>
      </c>
      <c r="F464" s="82">
        <v>0</v>
      </c>
      <c r="G464" s="82">
        <v>3318</v>
      </c>
      <c r="H464" s="82">
        <v>3318</v>
      </c>
      <c r="I464" s="108"/>
    </row>
    <row r="465" spans="1:9" ht="38.25" x14ac:dyDescent="0.25">
      <c r="A465" s="31"/>
      <c r="B465" s="35"/>
      <c r="C465" s="84"/>
      <c r="D465" s="84"/>
      <c r="E465" s="17">
        <v>109901</v>
      </c>
      <c r="F465" s="84"/>
      <c r="G465" s="84"/>
      <c r="H465" s="84"/>
      <c r="I465" s="48" t="s">
        <v>571</v>
      </c>
    </row>
    <row r="466" spans="1:9" ht="25.5" hidden="1" x14ac:dyDescent="0.25">
      <c r="A466" s="31"/>
      <c r="B466" s="35"/>
      <c r="C466" s="84"/>
      <c r="D466" s="84"/>
      <c r="E466" s="84"/>
      <c r="F466" s="84"/>
      <c r="G466" s="84">
        <v>3318</v>
      </c>
      <c r="H466" s="84">
        <v>3318</v>
      </c>
      <c r="I466" s="48" t="s">
        <v>375</v>
      </c>
    </row>
    <row r="467" spans="1:9" ht="38.25" x14ac:dyDescent="0.25">
      <c r="A467" s="31"/>
      <c r="B467" s="2" t="s">
        <v>166</v>
      </c>
      <c r="C467" s="82">
        <v>0</v>
      </c>
      <c r="D467" s="82">
        <v>0</v>
      </c>
      <c r="E467" s="82">
        <v>386474</v>
      </c>
      <c r="F467" s="82">
        <v>0</v>
      </c>
      <c r="G467" s="82">
        <v>0</v>
      </c>
      <c r="H467" s="82">
        <v>0</v>
      </c>
      <c r="I467" s="108"/>
    </row>
    <row r="468" spans="1:9" ht="38.25" x14ac:dyDescent="0.25">
      <c r="A468" s="31"/>
      <c r="B468" s="3"/>
      <c r="C468" s="84"/>
      <c r="D468" s="84"/>
      <c r="E468" s="17">
        <v>286474</v>
      </c>
      <c r="F468" s="84"/>
      <c r="G468" s="84"/>
      <c r="H468" s="84"/>
      <c r="I468" s="48" t="s">
        <v>571</v>
      </c>
    </row>
    <row r="469" spans="1:9" ht="25.5" x14ac:dyDescent="0.25">
      <c r="A469" s="31"/>
      <c r="B469" s="3"/>
      <c r="C469" s="84"/>
      <c r="D469" s="84"/>
      <c r="E469" s="84">
        <v>100000</v>
      </c>
      <c r="F469" s="84"/>
      <c r="G469" s="84"/>
      <c r="H469" s="84"/>
      <c r="I469" s="48" t="s">
        <v>341</v>
      </c>
    </row>
    <row r="470" spans="1:9" ht="38.25" x14ac:dyDescent="0.25">
      <c r="A470" s="31"/>
      <c r="B470" s="2" t="s">
        <v>397</v>
      </c>
      <c r="C470" s="82">
        <v>0</v>
      </c>
      <c r="D470" s="82">
        <v>0</v>
      </c>
      <c r="E470" s="82">
        <v>245108</v>
      </c>
      <c r="F470" s="82">
        <v>0</v>
      </c>
      <c r="G470" s="82">
        <v>80000</v>
      </c>
      <c r="H470" s="82">
        <v>80000</v>
      </c>
      <c r="I470" s="108"/>
    </row>
    <row r="471" spans="1:9" ht="38.25" x14ac:dyDescent="0.25">
      <c r="A471" s="31"/>
      <c r="B471" s="3"/>
      <c r="C471" s="84"/>
      <c r="D471" s="84"/>
      <c r="E471" s="17">
        <v>245108</v>
      </c>
      <c r="F471" s="84"/>
      <c r="G471" s="84"/>
      <c r="H471" s="84"/>
      <c r="I471" s="48" t="s">
        <v>571</v>
      </c>
    </row>
    <row r="472" spans="1:9" ht="25.5" hidden="1" x14ac:dyDescent="0.25">
      <c r="A472" s="31"/>
      <c r="B472" s="3"/>
      <c r="C472" s="84"/>
      <c r="D472" s="84"/>
      <c r="E472" s="84"/>
      <c r="F472" s="84"/>
      <c r="G472" s="84">
        <v>80000</v>
      </c>
      <c r="H472" s="84">
        <v>80000</v>
      </c>
      <c r="I472" s="108" t="s">
        <v>398</v>
      </c>
    </row>
    <row r="473" spans="1:9" ht="51" x14ac:dyDescent="0.25">
      <c r="A473" s="31"/>
      <c r="B473" s="2" t="s">
        <v>400</v>
      </c>
      <c r="C473" s="82">
        <v>0</v>
      </c>
      <c r="D473" s="82">
        <v>0</v>
      </c>
      <c r="E473" s="82">
        <v>10552392</v>
      </c>
      <c r="F473" s="82">
        <v>0</v>
      </c>
      <c r="G473" s="82">
        <v>0</v>
      </c>
      <c r="H473" s="82">
        <v>0</v>
      </c>
      <c r="I473" s="108"/>
    </row>
    <row r="474" spans="1:9" ht="63.75" x14ac:dyDescent="0.25">
      <c r="A474" s="31"/>
      <c r="B474" s="3"/>
      <c r="C474" s="84"/>
      <c r="D474" s="84"/>
      <c r="E474" s="17">
        <v>3458000</v>
      </c>
      <c r="F474" s="84"/>
      <c r="G474" s="84"/>
      <c r="H474" s="84"/>
      <c r="I474" s="48" t="s">
        <v>595</v>
      </c>
    </row>
    <row r="475" spans="1:9" ht="25.5" x14ac:dyDescent="0.25">
      <c r="A475" s="31"/>
      <c r="B475" s="3"/>
      <c r="C475" s="84"/>
      <c r="D475" s="84"/>
      <c r="E475" s="17">
        <v>1222872</v>
      </c>
      <c r="F475" s="84"/>
      <c r="G475" s="84"/>
      <c r="H475" s="84"/>
      <c r="I475" s="48" t="s">
        <v>596</v>
      </c>
    </row>
    <row r="476" spans="1:9" ht="25.5" x14ac:dyDescent="0.25">
      <c r="A476" s="31"/>
      <c r="B476" s="3"/>
      <c r="C476" s="84"/>
      <c r="D476" s="84"/>
      <c r="E476" s="17">
        <v>616000</v>
      </c>
      <c r="F476" s="84"/>
      <c r="G476" s="84"/>
      <c r="H476" s="84"/>
      <c r="I476" s="48" t="s">
        <v>607</v>
      </c>
    </row>
    <row r="477" spans="1:9" ht="51" x14ac:dyDescent="0.25">
      <c r="A477" s="31"/>
      <c r="B477" s="3"/>
      <c r="C477" s="84"/>
      <c r="D477" s="84"/>
      <c r="E477" s="84">
        <v>5255520</v>
      </c>
      <c r="F477" s="84"/>
      <c r="G477" s="84"/>
      <c r="H477" s="84"/>
      <c r="I477" s="48" t="s">
        <v>665</v>
      </c>
    </row>
    <row r="478" spans="1:9" ht="38.25" x14ac:dyDescent="0.25">
      <c r="A478" s="31"/>
      <c r="B478" s="2" t="s">
        <v>243</v>
      </c>
      <c r="C478" s="82">
        <v>0</v>
      </c>
      <c r="D478" s="82">
        <v>0</v>
      </c>
      <c r="E478" s="82">
        <v>3548000</v>
      </c>
      <c r="F478" s="82">
        <v>0</v>
      </c>
      <c r="G478" s="82">
        <v>0</v>
      </c>
      <c r="H478" s="82">
        <v>0</v>
      </c>
      <c r="I478" s="108"/>
    </row>
    <row r="479" spans="1:9" ht="38.25" x14ac:dyDescent="0.25">
      <c r="A479" s="31"/>
      <c r="B479" s="3"/>
      <c r="C479" s="82"/>
      <c r="D479" s="82"/>
      <c r="E479" s="17">
        <v>3478000</v>
      </c>
      <c r="F479" s="82"/>
      <c r="G479" s="82"/>
      <c r="H479" s="82"/>
      <c r="I479" s="108" t="s">
        <v>604</v>
      </c>
    </row>
    <row r="480" spans="1:9" ht="25.5" hidden="1" x14ac:dyDescent="0.25">
      <c r="A480" s="31"/>
      <c r="B480" s="3"/>
      <c r="C480" s="82"/>
      <c r="D480" s="82"/>
      <c r="E480" s="84"/>
      <c r="F480" s="82"/>
      <c r="G480" s="82"/>
      <c r="H480" s="82"/>
      <c r="I480" s="108" t="s">
        <v>597</v>
      </c>
    </row>
    <row r="481" spans="1:9" ht="25.5" hidden="1" x14ac:dyDescent="0.25">
      <c r="A481" s="31"/>
      <c r="B481" s="3"/>
      <c r="C481" s="82"/>
      <c r="D481" s="82"/>
      <c r="E481" s="84"/>
      <c r="F481" s="82"/>
      <c r="G481" s="82"/>
      <c r="H481" s="82"/>
      <c r="I481" s="108" t="s">
        <v>596</v>
      </c>
    </row>
    <row r="482" spans="1:9" ht="25.5" x14ac:dyDescent="0.25">
      <c r="A482" s="31"/>
      <c r="B482" s="3"/>
      <c r="C482" s="82"/>
      <c r="D482" s="82"/>
      <c r="E482" s="84">
        <v>70000</v>
      </c>
      <c r="F482" s="82"/>
      <c r="G482" s="82"/>
      <c r="H482" s="82"/>
      <c r="I482" s="108" t="s">
        <v>598</v>
      </c>
    </row>
    <row r="483" spans="1:9" ht="15.75" x14ac:dyDescent="0.25">
      <c r="A483" s="31"/>
      <c r="B483" s="146" t="s">
        <v>47</v>
      </c>
      <c r="C483" s="30">
        <v>176281300</v>
      </c>
      <c r="D483" s="30">
        <v>0</v>
      </c>
      <c r="E483" s="30">
        <v>1915413417</v>
      </c>
      <c r="F483" s="30">
        <v>122484639</v>
      </c>
      <c r="G483" s="30">
        <v>681713454</v>
      </c>
      <c r="H483" s="30">
        <v>681713454</v>
      </c>
      <c r="I483" s="37"/>
    </row>
  </sheetData>
  <autoFilter ref="A6:J483">
    <filterColumn colId="4">
      <customFilters>
        <customFilter operator="notEqual" val=" "/>
      </customFilters>
    </filterColumn>
  </autoFilter>
  <mergeCells count="13">
    <mergeCell ref="I283:I285"/>
    <mergeCell ref="A4:A6"/>
    <mergeCell ref="B4:B6"/>
    <mergeCell ref="C4:C6"/>
    <mergeCell ref="D4:D6"/>
    <mergeCell ref="E4:F4"/>
    <mergeCell ref="E5:E6"/>
    <mergeCell ref="F5:F6"/>
    <mergeCell ref="G4:H4"/>
    <mergeCell ref="I4:I6"/>
    <mergeCell ref="G5:H5"/>
    <mergeCell ref="B165:B166"/>
    <mergeCell ref="B268:B26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Полякова Ирина Григорьевна</dc:creator>
  <cp:lastModifiedBy>Леонова Анна Владимировна</cp:lastModifiedBy>
  <cp:lastPrinted>2018-09-07T10:33:02Z</cp:lastPrinted>
  <dcterms:created xsi:type="dcterms:W3CDTF">2009-11-20T12:52:24Z</dcterms:created>
  <dcterms:modified xsi:type="dcterms:W3CDTF">2018-09-07T10:53:12Z</dcterms:modified>
</cp:coreProperties>
</file>