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'Лист1'!$8:$8</definedName>
    <definedName name="_xlnm.Print_Area" localSheetId="0">'Лист1'!$A$1:$U$73</definedName>
  </definedNames>
  <calcPr fullCalcOnLoad="1"/>
</workbook>
</file>

<file path=xl/sharedStrings.xml><?xml version="1.0" encoding="utf-8"?>
<sst xmlns="http://schemas.openxmlformats.org/spreadsheetml/2006/main" count="189" uniqueCount="163">
  <si>
    <t>Код</t>
  </si>
  <si>
    <t>Общегосударственные вопросы</t>
  </si>
  <si>
    <t>Судебная система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</si>
  <si>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</si>
  <si>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</si>
  <si>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</si>
  <si>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</si>
  <si>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</si>
  <si>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</si>
  <si>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</si>
  <si>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</si>
  <si>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</si>
  <si>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</si>
  <si>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</si>
  <si>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</si>
  <si>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</si>
  <si>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</si>
  <si>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</si>
  <si>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</si>
  <si>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</si>
  <si>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</si>
  <si>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</si>
  <si>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</si>
  <si>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</si>
  <si>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</si>
  <si>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</si>
  <si>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</si>
  <si>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</si>
  <si>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</si>
  <si>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</si>
  <si>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</si>
  <si>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</si>
  <si>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</si>
  <si>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</si>
  <si>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</si>
  <si>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</si>
  <si>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</si>
  <si>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</si>
  <si>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Наименование</t>
  </si>
  <si>
    <t>ВСЕГО</t>
  </si>
  <si>
    <t>ПРОФИЦИТ/ДЕФИЦИТ</t>
  </si>
  <si>
    <t>0100</t>
  </si>
  <si>
    <t>0102</t>
  </si>
  <si>
    <t>0103</t>
  </si>
  <si>
    <t>0104</t>
  </si>
  <si>
    <t>0105</t>
  </si>
  <si>
    <t>0106</t>
  </si>
  <si>
    <t>0107</t>
  </si>
  <si>
    <t>0112</t>
  </si>
  <si>
    <t>0200</t>
  </si>
  <si>
    <t>0300</t>
  </si>
  <si>
    <t>0302</t>
  </si>
  <si>
    <t>0309</t>
  </si>
  <si>
    <t>0310</t>
  </si>
  <si>
    <t>0400</t>
  </si>
  <si>
    <t>0401</t>
  </si>
  <si>
    <t>0402</t>
  </si>
  <si>
    <t>0404</t>
  </si>
  <si>
    <t>0405</t>
  </si>
  <si>
    <t>0408</t>
  </si>
  <si>
    <t>0409</t>
  </si>
  <si>
    <t>0500</t>
  </si>
  <si>
    <t>0600</t>
  </si>
  <si>
    <t>0700</t>
  </si>
  <si>
    <t>0702</t>
  </si>
  <si>
    <t>0703</t>
  </si>
  <si>
    <t>0704</t>
  </si>
  <si>
    <t>0705</t>
  </si>
  <si>
    <t>0707</t>
  </si>
  <si>
    <t>0709</t>
  </si>
  <si>
    <t>0800</t>
  </si>
  <si>
    <t>0801</t>
  </si>
  <si>
    <t>0804</t>
  </si>
  <si>
    <t>0806</t>
  </si>
  <si>
    <t>0900</t>
  </si>
  <si>
    <t>0901</t>
  </si>
  <si>
    <t>0902</t>
  </si>
  <si>
    <t>0904</t>
  </si>
  <si>
    <t>1000</t>
  </si>
  <si>
    <t>0407</t>
  </si>
  <si>
    <t>0502</t>
  </si>
  <si>
    <t>итого</t>
  </si>
  <si>
    <t>Запруднова</t>
  </si>
  <si>
    <t>АПК</t>
  </si>
  <si>
    <t>госдолг</t>
  </si>
  <si>
    <t>Соцсфера</t>
  </si>
  <si>
    <t>Итого</t>
  </si>
  <si>
    <t>Гредасова</t>
  </si>
  <si>
    <t>0406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</si>
  <si>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</si>
  <si>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</si>
  <si>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0114</t>
  </si>
  <si>
    <t>0204</t>
  </si>
  <si>
    <t>Обеспечение пожарной безопасности</t>
  </si>
  <si>
    <t>0412</t>
  </si>
  <si>
    <t>0501</t>
  </si>
  <si>
    <t>0505</t>
  </si>
  <si>
    <t>0605</t>
  </si>
  <si>
    <t>Профессиональная подготовка, переподготовка и повышение квалификации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</si>
  <si>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</si>
  <si>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</si>
  <si>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</si>
  <si>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</si>
  <si>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</si>
  <si>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Скорая медицинская помощь</t>
  </si>
  <si>
    <t>0905</t>
  </si>
  <si>
    <t>Санаторно-оздоровительная помощь</t>
  </si>
  <si>
    <t>0906</t>
  </si>
  <si>
    <t>0907</t>
  </si>
  <si>
    <t>Санитарно-эпидемиологическое благополучие</t>
  </si>
  <si>
    <t>0908</t>
  </si>
  <si>
    <t>Физическая культура и спорт</t>
  </si>
  <si>
    <t>Другие вопросы в области здравоохранения, физической культуры и спорта</t>
  </si>
  <si>
    <t>0910</t>
  </si>
  <si>
    <t>1102</t>
  </si>
  <si>
    <t>1103</t>
  </si>
  <si>
    <t>1104</t>
  </si>
  <si>
    <t>Иные межбюджетные трансферты</t>
  </si>
  <si>
    <t>1105</t>
  </si>
  <si>
    <t>Межбюджетные трансферты бюджетам государственных внебюджетных фондов</t>
  </si>
  <si>
    <t>0111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</si>
  <si>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</si>
  <si>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</si>
  <si>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</si>
  <si>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</t>
  </si>
  <si>
    <t xml:space="preserve">Расходы за счет средств от предпринимательской и иной приносящей доход деятельности 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</si>
  <si>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</si>
  <si>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</si>
  <si>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</si>
  <si>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(финансового - бюджетного) надзора</t>
  </si>
  <si>
    <t>кокорин</t>
  </si>
  <si>
    <t>Заготовка, переработка, хранение и обеспечение безопасности донорской крови и ее компонентов</t>
  </si>
  <si>
    <t>Защита населения  и территории от чрезвычайных ситуаций природного и техногенного характера, гражданская оборона</t>
  </si>
  <si>
    <t>Условно утвержденные расходы</t>
  </si>
  <si>
    <t xml:space="preserve">2009 год           (тыс. руб.)            </t>
  </si>
  <si>
    <t xml:space="preserve">2010 год             (тыс. руб.)           </t>
  </si>
  <si>
    <t xml:space="preserve">2011 год             (тыс. руб.)      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</si>
  <si>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</si>
  <si>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поправки</t>
  </si>
  <si>
    <t>Топливно-энергетический комплекс</t>
  </si>
  <si>
    <t>уточнение</t>
  </si>
  <si>
    <t>Дорожники</t>
  </si>
  <si>
    <t xml:space="preserve">Власть </t>
  </si>
  <si>
    <t>Гаврилова</t>
  </si>
  <si>
    <t>Баулина</t>
  </si>
  <si>
    <t>Водное хозяйство</t>
  </si>
  <si>
    <t>Уточнение апрель</t>
  </si>
  <si>
    <t xml:space="preserve">запруднова </t>
  </si>
  <si>
    <t xml:space="preserve">Межбюджет </t>
  </si>
  <si>
    <t xml:space="preserve">План               (тыс. руб.)            </t>
  </si>
  <si>
    <t>Дорожное хозяйство</t>
  </si>
  <si>
    <t>гредасова</t>
  </si>
  <si>
    <t>власть</t>
  </si>
  <si>
    <t>соцсфера</t>
  </si>
  <si>
    <t>2009  -  21з</t>
  </si>
  <si>
    <t>2009- 37з</t>
  </si>
  <si>
    <t>Зпроект</t>
  </si>
  <si>
    <t>Изменение</t>
  </si>
  <si>
    <t>Изменение расходов областного бюджета на 2009 год по разделам и подразделам классификации расходов бюджетов Российской Федерации (в тыс. руб.)</t>
  </si>
  <si>
    <t>План</t>
  </si>
  <si>
    <t xml:space="preserve">Проект </t>
  </si>
  <si>
    <t>Вклад</t>
  </si>
  <si>
    <t>Изменение в 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</si>
</sst>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justify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9" fontId="4" fillId="0" borderId="10" xfId="57" applyFont="1" applyFill="1" applyBorder="1" applyAlignment="1">
      <alignment/>
    </xf>
    <xf numFmtId="9" fontId="3" fillId="0" borderId="10" xfId="57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mafcon\Analitic\Documents%20and%20Settings\evstigneeva\Local%20Settings\Temporary%20Internet%20Files\OLK4\&#1055;&#1088;&#1080;&#1083;&#1086;&#1078;&#1077;&#1085;&#1080;&#1077;%201%20&#1076;&#1086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mafcon\Analitic\DOCUME~1\1\LOCALS~1\Temp\&#1087;&#1088;&#1080;&#1083;&#1086;&#1078;&#1077;&#1085;&#1080;&#1077;%201%20&#1076;&#1086;&#109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mafcon\Analitic\Users2\Guzhov\&#1086;&#1090;&#1095;&#1077;&#1090;&#1099;%20&#1080;%20&#1073;&#1102;&#1076;&#1078;&#1077;&#1090;&#1099;\&#1073;&#1102;&#1076;&#1078;&#1077;&#1090;&#1099;\&#1073;&#1102;&#1076;&#1078;&#1077;&#1090;%202009-2011\6%20&#1048;&#1102;&#1085;&#1100;\&#1060;&#1086;&#1088;&#1084;&#1099;%20&#1079;&#1072;&#1087;&#1086;&#1083;&#1085;&#1077;&#1085;&#1085;&#1099;&#1077;\&#1087;&#1088;&#1080;&#1083;&#1086;&#1078;&#1077;&#1085;&#1080;&#1077;%201-&#1076;&#1086;&#1093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2;&#1086;&#1085;&#1086;&#1087;&#1088;&#1086;&#1077;&#1082;&#1090;&#1099;\&#1054;&#1073;&#1083;&#1072;&#1089;&#1090;&#1085;&#1086;&#1081;%20&#1073;&#1102;&#1076;&#1078;&#1077;&#1090;%202009\zp092284\&#1087;&#1088;&#1080;&#1083;&#1086;&#1078;&#1077;&#1085;&#1080;&#1077;%201-&#1076;&#1086;&#1093;..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6">
          <cell r="E106">
            <v>38695530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5">
          <cell r="D125">
            <v>2622987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7">
          <cell r="E127">
            <v>40908414</v>
          </cell>
          <cell r="F127">
            <v>-3441878</v>
          </cell>
        </row>
        <row r="129">
          <cell r="G129">
            <v>38329420</v>
          </cell>
          <cell r="N129">
            <v>574914</v>
          </cell>
          <cell r="O129">
            <v>38904334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2">
          <cell r="Q142">
            <v>1435227</v>
          </cell>
          <cell r="R142">
            <v>40339561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tabSelected="1" zoomScaleSheetLayoutView="100" zoomScalePageLayoutView="0" workbookViewId="0" topLeftCell="A1">
      <selection activeCell="W63" activeCellId="3" sqref="W11 W24 W21 W63"/>
    </sheetView>
  </sheetViews>
  <sheetFormatPr defaultColWidth="11.875" defaultRowHeight="12.75"/>
  <cols>
    <col min="1" max="1" width="10.75390625" style="14" customWidth="1"/>
    <col min="2" max="2" width="80.25390625" style="2" customWidth="1"/>
    <col min="3" max="3" width="12.375" style="13" hidden="1" customWidth="1"/>
    <col min="4" max="4" width="10.875" style="13" hidden="1" customWidth="1"/>
    <col min="5" max="5" width="13.875" style="13" hidden="1" customWidth="1"/>
    <col min="6" max="6" width="11.75390625" style="13" hidden="1" customWidth="1"/>
    <col min="7" max="7" width="13.75390625" style="13" hidden="1" customWidth="1"/>
    <col min="8" max="8" width="15.00390625" style="13" hidden="1" customWidth="1"/>
    <col min="9" max="9" width="2.625" style="13" hidden="1" customWidth="1"/>
    <col min="10" max="10" width="14.375" style="13" hidden="1" customWidth="1"/>
    <col min="11" max="11" width="11.00390625" style="13" hidden="1" customWidth="1"/>
    <col min="12" max="12" width="11.75390625" style="13" hidden="1" customWidth="1"/>
    <col min="13" max="13" width="14.75390625" style="13" hidden="1" customWidth="1"/>
    <col min="14" max="15" width="13.125" style="13" hidden="1" customWidth="1"/>
    <col min="16" max="16" width="11.75390625" style="13" hidden="1" customWidth="1"/>
    <col min="17" max="17" width="14.625" style="13" hidden="1" customWidth="1"/>
    <col min="18" max="18" width="14.375" style="13" customWidth="1"/>
    <col min="19" max="19" width="13.375" style="13" hidden="1" customWidth="1"/>
    <col min="20" max="20" width="14.625" style="13" customWidth="1"/>
    <col min="21" max="23" width="14.875" style="13" customWidth="1"/>
    <col min="24" max="16384" width="11.875" style="13" customWidth="1"/>
  </cols>
  <sheetData>
    <row r="1" spans="1:21" s="2" customFormat="1" ht="45" customHeight="1">
      <c r="A1" s="20" t="s">
        <v>158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0" s="2" customFormat="1" ht="17.25" customHeight="1">
      <c r="A2" s="3"/>
      <c r="G2" s="2" t="s">
        <v>154</v>
      </c>
      <c r="R2" s="4" t="s">
        <v>155</v>
      </c>
      <c r="T2" s="5" t="s">
        <v>156</v>
      </c>
    </row>
    <row r="3" spans="1:23" s="2" customFormat="1" ht="45" customHeight="1">
      <c r="A3" s="18" t="s">
        <v>0</v>
      </c>
      <c r="B3" s="19" t="s">
        <v>38</v>
      </c>
      <c r="C3" s="19" t="s">
        <v>134</v>
      </c>
      <c r="D3" s="19" t="s">
        <v>140</v>
      </c>
      <c r="E3" s="19" t="s">
        <v>134</v>
      </c>
      <c r="F3" s="19" t="s">
        <v>146</v>
      </c>
      <c r="G3" s="19" t="s">
        <v>149</v>
      </c>
      <c r="H3" s="19" t="s">
        <v>136</v>
      </c>
      <c r="I3" s="19" t="s">
        <v>138</v>
      </c>
      <c r="J3" s="19" t="s">
        <v>135</v>
      </c>
      <c r="K3" s="19" t="s">
        <v>140</v>
      </c>
      <c r="L3" s="19" t="s">
        <v>135</v>
      </c>
      <c r="M3" s="19" t="s">
        <v>136</v>
      </c>
      <c r="N3" s="19" t="s">
        <v>140</v>
      </c>
      <c r="O3" s="19" t="s">
        <v>136</v>
      </c>
      <c r="P3" s="19" t="s">
        <v>146</v>
      </c>
      <c r="Q3" s="19" t="s">
        <v>149</v>
      </c>
      <c r="R3" s="19" t="s">
        <v>159</v>
      </c>
      <c r="S3" s="19" t="s">
        <v>157</v>
      </c>
      <c r="T3" s="19" t="s">
        <v>160</v>
      </c>
      <c r="U3" s="19" t="s">
        <v>157</v>
      </c>
      <c r="V3" s="19" t="s">
        <v>162</v>
      </c>
      <c r="W3" s="19" t="s">
        <v>161</v>
      </c>
    </row>
    <row r="4" spans="1:23" s="2" customFormat="1" ht="18.75">
      <c r="A4" s="6" t="s">
        <v>41</v>
      </c>
      <c r="B4" s="7" t="s">
        <v>1</v>
      </c>
      <c r="C4" s="8">
        <v>2312916</v>
      </c>
      <c r="D4" s="8">
        <f>SUM(D5:D13)</f>
        <v>7951</v>
      </c>
      <c r="E4" s="8">
        <f>C4+D4</f>
        <v>2320867</v>
      </c>
      <c r="F4" s="8">
        <f>SUM(F5:F13)</f>
        <v>-27599</v>
      </c>
      <c r="G4" s="8">
        <f>E4+F4</f>
        <v>2293268</v>
      </c>
      <c r="H4" s="8">
        <f>SUM(H5:H13)</f>
        <v>3134867</v>
      </c>
      <c r="I4" s="8">
        <f>SUM(I5:I13)</f>
        <v>0</v>
      </c>
      <c r="J4" s="8">
        <v>2949498</v>
      </c>
      <c r="K4" s="8">
        <f>SUM(K5:K13)</f>
        <v>0</v>
      </c>
      <c r="L4" s="8">
        <f>J4+K4</f>
        <v>2949498</v>
      </c>
      <c r="M4" s="8">
        <v>3134867</v>
      </c>
      <c r="N4" s="8">
        <f>SUM(N5:N13)</f>
        <v>0</v>
      </c>
      <c r="O4" s="8">
        <f>M4+N4</f>
        <v>3134867</v>
      </c>
      <c r="P4" s="8">
        <f>SUM(P5:P13)</f>
        <v>340932</v>
      </c>
      <c r="Q4" s="8">
        <f>G4+P4</f>
        <v>2634200</v>
      </c>
      <c r="R4" s="8">
        <v>2634200</v>
      </c>
      <c r="S4" s="8">
        <f>SUM(S5:S13)</f>
        <v>469050</v>
      </c>
      <c r="T4" s="8">
        <f>R4+S4</f>
        <v>3103250</v>
      </c>
      <c r="U4" s="8">
        <v>469050</v>
      </c>
      <c r="V4" s="27">
        <f>U4/R4</f>
        <v>0.17806165059600637</v>
      </c>
      <c r="W4" s="27">
        <f>U4/$U$72</f>
        <v>0.3015070531630761</v>
      </c>
    </row>
    <row r="5" spans="1:23" s="2" customFormat="1" ht="37.5" hidden="1">
      <c r="A5" s="9" t="s">
        <v>42</v>
      </c>
      <c r="B5" s="10" t="s">
        <v>89</v>
      </c>
      <c r="C5" s="11">
        <v>2151</v>
      </c>
      <c r="D5" s="11"/>
      <c r="E5" s="11">
        <f aca="true" t="shared" si="0" ref="E5:G36">C5+D5</f>
        <v>2151</v>
      </c>
      <c r="F5" s="11"/>
      <c r="G5" s="11">
        <f t="shared" si="0"/>
        <v>2151</v>
      </c>
      <c r="H5" s="11">
        <v>2844</v>
      </c>
      <c r="I5" s="11"/>
      <c r="J5" s="11">
        <v>2653</v>
      </c>
      <c r="K5" s="11"/>
      <c r="L5" s="11">
        <f aca="true" t="shared" si="1" ref="L5:L36">J5+K5</f>
        <v>2653</v>
      </c>
      <c r="M5" s="11">
        <v>2844</v>
      </c>
      <c r="N5" s="11"/>
      <c r="O5" s="11">
        <f aca="true" t="shared" si="2" ref="O5:O36">M5+N5</f>
        <v>2844</v>
      </c>
      <c r="P5" s="11"/>
      <c r="Q5" s="11">
        <f aca="true" t="shared" si="3" ref="Q5:Q68">G5+P5</f>
        <v>2151</v>
      </c>
      <c r="R5" s="11">
        <v>2151</v>
      </c>
      <c r="S5" s="11"/>
      <c r="T5" s="11">
        <f aca="true" t="shared" si="4" ref="T5:T68">R5+S5</f>
        <v>2151</v>
      </c>
      <c r="U5" s="11"/>
      <c r="V5" s="11"/>
      <c r="W5" s="11"/>
    </row>
    <row r="6" spans="1:23" s="2" customFormat="1" ht="53.25" customHeight="1" hidden="1">
      <c r="A6" s="9" t="s">
        <v>43</v>
      </c>
      <c r="B6" s="10" t="s">
        <v>137</v>
      </c>
      <c r="C6" s="11">
        <v>102410</v>
      </c>
      <c r="D6" s="11"/>
      <c r="E6" s="11">
        <f t="shared" si="0"/>
        <v>102410</v>
      </c>
      <c r="F6" s="11"/>
      <c r="G6" s="11">
        <f t="shared" si="0"/>
        <v>102410</v>
      </c>
      <c r="H6" s="11">
        <v>125544</v>
      </c>
      <c r="I6" s="11"/>
      <c r="J6" s="11">
        <v>117112</v>
      </c>
      <c r="K6" s="11"/>
      <c r="L6" s="11">
        <f t="shared" si="1"/>
        <v>117112</v>
      </c>
      <c r="M6" s="11">
        <v>125544</v>
      </c>
      <c r="N6" s="11"/>
      <c r="O6" s="11">
        <f t="shared" si="2"/>
        <v>125544</v>
      </c>
      <c r="P6" s="11"/>
      <c r="Q6" s="11">
        <f t="shared" si="3"/>
        <v>102410</v>
      </c>
      <c r="R6" s="11">
        <v>102410</v>
      </c>
      <c r="S6" s="11"/>
      <c r="T6" s="11">
        <f t="shared" si="4"/>
        <v>102410</v>
      </c>
      <c r="U6" s="11"/>
      <c r="V6" s="11"/>
      <c r="W6" s="11"/>
    </row>
    <row r="7" spans="1:23" s="2" customFormat="1" ht="56.25">
      <c r="A7" s="9" t="s">
        <v>44</v>
      </c>
      <c r="B7" s="10" t="s">
        <v>90</v>
      </c>
      <c r="C7" s="11">
        <v>341168</v>
      </c>
      <c r="D7" s="11">
        <v>-5600</v>
      </c>
      <c r="E7" s="11">
        <f t="shared" si="0"/>
        <v>335568</v>
      </c>
      <c r="F7" s="11">
        <v>-11991</v>
      </c>
      <c r="G7" s="11">
        <f t="shared" si="0"/>
        <v>323577</v>
      </c>
      <c r="H7" s="11">
        <v>480614</v>
      </c>
      <c r="I7" s="11"/>
      <c r="J7" s="11">
        <v>448441</v>
      </c>
      <c r="K7" s="11"/>
      <c r="L7" s="11">
        <f t="shared" si="1"/>
        <v>448441</v>
      </c>
      <c r="M7" s="11">
        <v>480614</v>
      </c>
      <c r="N7" s="11"/>
      <c r="O7" s="11">
        <f t="shared" si="2"/>
        <v>480614</v>
      </c>
      <c r="P7" s="11"/>
      <c r="Q7" s="11">
        <f t="shared" si="3"/>
        <v>323577</v>
      </c>
      <c r="R7" s="11">
        <v>323577</v>
      </c>
      <c r="S7" s="11">
        <f>-4442+60</f>
        <v>-4382</v>
      </c>
      <c r="T7" s="11">
        <f t="shared" si="4"/>
        <v>319195</v>
      </c>
      <c r="U7" s="11">
        <v>-4382</v>
      </c>
      <c r="V7" s="26">
        <f aca="true" t="shared" si="5" ref="V7:V70">U7/R7</f>
        <v>-0.013542371676602478</v>
      </c>
      <c r="W7" s="26">
        <f aca="true" t="shared" si="6" ref="W7:W70">U7/$U$72</f>
        <v>-0.002816765604862167</v>
      </c>
    </row>
    <row r="8" spans="1:23" s="1" customFormat="1" ht="18.75">
      <c r="A8" s="9" t="s">
        <v>45</v>
      </c>
      <c r="B8" s="10" t="s">
        <v>2</v>
      </c>
      <c r="C8" s="11">
        <v>61750</v>
      </c>
      <c r="D8" s="11"/>
      <c r="E8" s="11">
        <f t="shared" si="0"/>
        <v>61750</v>
      </c>
      <c r="F8" s="11"/>
      <c r="G8" s="11">
        <f t="shared" si="0"/>
        <v>61750</v>
      </c>
      <c r="H8" s="11">
        <v>78530</v>
      </c>
      <c r="I8" s="11"/>
      <c r="J8" s="11">
        <v>73256</v>
      </c>
      <c r="K8" s="11"/>
      <c r="L8" s="11">
        <f t="shared" si="1"/>
        <v>73256</v>
      </c>
      <c r="M8" s="11">
        <v>78530</v>
      </c>
      <c r="N8" s="11"/>
      <c r="O8" s="11">
        <f t="shared" si="2"/>
        <v>78530</v>
      </c>
      <c r="P8" s="11"/>
      <c r="Q8" s="11">
        <f t="shared" si="3"/>
        <v>61750</v>
      </c>
      <c r="R8" s="11">
        <v>61750</v>
      </c>
      <c r="S8" s="11">
        <v>3000</v>
      </c>
      <c r="T8" s="11">
        <f t="shared" si="4"/>
        <v>64750</v>
      </c>
      <c r="U8" s="11">
        <v>3000</v>
      </c>
      <c r="V8" s="26">
        <f t="shared" si="5"/>
        <v>0.048582995951417005</v>
      </c>
      <c r="W8" s="26">
        <f t="shared" si="6"/>
        <v>0.001928410957231059</v>
      </c>
    </row>
    <row r="9" spans="1:23" s="12" customFormat="1" ht="56.25" hidden="1">
      <c r="A9" s="9" t="s">
        <v>46</v>
      </c>
      <c r="B9" s="10" t="s">
        <v>129</v>
      </c>
      <c r="C9" s="11">
        <v>110077</v>
      </c>
      <c r="D9" s="11"/>
      <c r="E9" s="11">
        <f t="shared" si="0"/>
        <v>110077</v>
      </c>
      <c r="F9" s="11">
        <v>-2941</v>
      </c>
      <c r="G9" s="11">
        <f t="shared" si="0"/>
        <v>107136</v>
      </c>
      <c r="H9" s="11">
        <v>142467</v>
      </c>
      <c r="I9" s="11"/>
      <c r="J9" s="11">
        <v>132899</v>
      </c>
      <c r="K9" s="11"/>
      <c r="L9" s="11">
        <f t="shared" si="1"/>
        <v>132899</v>
      </c>
      <c r="M9" s="11">
        <v>142467</v>
      </c>
      <c r="N9" s="11"/>
      <c r="O9" s="11">
        <f t="shared" si="2"/>
        <v>142467</v>
      </c>
      <c r="P9" s="11"/>
      <c r="Q9" s="11">
        <f t="shared" si="3"/>
        <v>107136</v>
      </c>
      <c r="R9" s="11">
        <v>107136</v>
      </c>
      <c r="S9" s="11"/>
      <c r="T9" s="11">
        <f t="shared" si="4"/>
        <v>107136</v>
      </c>
      <c r="U9" s="11"/>
      <c r="V9" s="26">
        <f t="shared" si="5"/>
        <v>0</v>
      </c>
      <c r="W9" s="26">
        <f t="shared" si="6"/>
        <v>0</v>
      </c>
    </row>
    <row r="10" spans="1:23" ht="18.75">
      <c r="A10" s="9" t="s">
        <v>47</v>
      </c>
      <c r="B10" s="10" t="s">
        <v>3</v>
      </c>
      <c r="C10" s="11">
        <v>18241</v>
      </c>
      <c r="D10" s="11"/>
      <c r="E10" s="11">
        <f t="shared" si="0"/>
        <v>18241</v>
      </c>
      <c r="F10" s="11">
        <v>-1695</v>
      </c>
      <c r="G10" s="11">
        <f t="shared" si="0"/>
        <v>16546</v>
      </c>
      <c r="H10" s="11">
        <v>23842</v>
      </c>
      <c r="I10" s="11"/>
      <c r="J10" s="11">
        <v>22241</v>
      </c>
      <c r="K10" s="11"/>
      <c r="L10" s="11">
        <f t="shared" si="1"/>
        <v>22241</v>
      </c>
      <c r="M10" s="11">
        <v>23842</v>
      </c>
      <c r="N10" s="11"/>
      <c r="O10" s="11">
        <f t="shared" si="2"/>
        <v>23842</v>
      </c>
      <c r="P10" s="11">
        <v>1944</v>
      </c>
      <c r="Q10" s="11">
        <f t="shared" si="3"/>
        <v>18490</v>
      </c>
      <c r="R10" s="11">
        <v>18490</v>
      </c>
      <c r="S10" s="11">
        <f>688+663</f>
        <v>1351</v>
      </c>
      <c r="T10" s="11">
        <f t="shared" si="4"/>
        <v>19841</v>
      </c>
      <c r="U10" s="11">
        <v>1351</v>
      </c>
      <c r="V10" s="26">
        <f t="shared" si="5"/>
        <v>0.07306652244456463</v>
      </c>
      <c r="W10" s="26">
        <f t="shared" si="6"/>
        <v>0.0008684277344063869</v>
      </c>
    </row>
    <row r="11" spans="1:23" ht="18.75">
      <c r="A11" s="9" t="s">
        <v>120</v>
      </c>
      <c r="B11" s="10" t="s">
        <v>4</v>
      </c>
      <c r="C11" s="11">
        <v>891968</v>
      </c>
      <c r="D11" s="11"/>
      <c r="E11" s="11">
        <f t="shared" si="0"/>
        <v>891968</v>
      </c>
      <c r="F11" s="11"/>
      <c r="G11" s="11">
        <f t="shared" si="0"/>
        <v>891968</v>
      </c>
      <c r="H11" s="11">
        <f>1329595+7401</f>
        <v>1336996</v>
      </c>
      <c r="I11" s="11"/>
      <c r="J11" s="11">
        <v>1198178</v>
      </c>
      <c r="K11" s="11"/>
      <c r="L11" s="11">
        <f t="shared" si="1"/>
        <v>1198178</v>
      </c>
      <c r="M11" s="11">
        <v>1336996</v>
      </c>
      <c r="N11" s="11"/>
      <c r="O11" s="11">
        <f t="shared" si="2"/>
        <v>1336996</v>
      </c>
      <c r="P11" s="11"/>
      <c r="Q11" s="11">
        <f t="shared" si="3"/>
        <v>891968</v>
      </c>
      <c r="R11" s="11">
        <v>891968</v>
      </c>
      <c r="S11" s="11">
        <v>300000</v>
      </c>
      <c r="T11" s="11">
        <f t="shared" si="4"/>
        <v>1191968</v>
      </c>
      <c r="U11" s="11">
        <v>300000</v>
      </c>
      <c r="V11" s="26">
        <f t="shared" si="5"/>
        <v>0.3363349357824496</v>
      </c>
      <c r="W11" s="26">
        <f t="shared" si="6"/>
        <v>0.1928410957231059</v>
      </c>
    </row>
    <row r="12" spans="1:23" ht="18.75">
      <c r="A12" s="9" t="s">
        <v>48</v>
      </c>
      <c r="B12" s="10" t="s">
        <v>5</v>
      </c>
      <c r="C12" s="11">
        <v>35475</v>
      </c>
      <c r="D12" s="11"/>
      <c r="E12" s="11">
        <f t="shared" si="0"/>
        <v>35475</v>
      </c>
      <c r="F12" s="11">
        <v>100000</v>
      </c>
      <c r="G12" s="11">
        <f t="shared" si="0"/>
        <v>135475</v>
      </c>
      <c r="H12" s="11">
        <v>100000</v>
      </c>
      <c r="I12" s="11"/>
      <c r="J12" s="11">
        <v>100000</v>
      </c>
      <c r="K12" s="11"/>
      <c r="L12" s="11">
        <f t="shared" si="1"/>
        <v>100000</v>
      </c>
      <c r="M12" s="11">
        <v>100000</v>
      </c>
      <c r="N12" s="11"/>
      <c r="O12" s="11">
        <f t="shared" si="2"/>
        <v>100000</v>
      </c>
      <c r="P12" s="11">
        <v>-68035</v>
      </c>
      <c r="Q12" s="11">
        <f t="shared" si="3"/>
        <v>67440</v>
      </c>
      <c r="R12" s="11">
        <v>67440</v>
      </c>
      <c r="S12" s="11">
        <v>100000</v>
      </c>
      <c r="T12" s="11">
        <f t="shared" si="4"/>
        <v>167440</v>
      </c>
      <c r="U12" s="11">
        <v>100000</v>
      </c>
      <c r="V12" s="26">
        <f t="shared" si="5"/>
        <v>1.482799525504152</v>
      </c>
      <c r="W12" s="26">
        <f t="shared" si="6"/>
        <v>0.0642803652410353</v>
      </c>
    </row>
    <row r="13" spans="1:23" ht="18.75">
      <c r="A13" s="9" t="s">
        <v>91</v>
      </c>
      <c r="B13" s="10" t="s">
        <v>6</v>
      </c>
      <c r="C13" s="11">
        <v>749676</v>
      </c>
      <c r="D13" s="11">
        <v>13551</v>
      </c>
      <c r="E13" s="11">
        <f t="shared" si="0"/>
        <v>763227</v>
      </c>
      <c r="F13" s="11">
        <f>-103972-7000</f>
        <v>-110972</v>
      </c>
      <c r="G13" s="11">
        <f t="shared" si="0"/>
        <v>652255</v>
      </c>
      <c r="H13" s="11">
        <f>40000+719929+13714+77464-8067+990</f>
        <v>844030</v>
      </c>
      <c r="I13" s="11"/>
      <c r="J13" s="11">
        <v>854718</v>
      </c>
      <c r="K13" s="11"/>
      <c r="L13" s="11">
        <f t="shared" si="1"/>
        <v>854718</v>
      </c>
      <c r="M13" s="11">
        <v>844030</v>
      </c>
      <c r="N13" s="11"/>
      <c r="O13" s="11">
        <f t="shared" si="2"/>
        <v>844030</v>
      </c>
      <c r="P13" s="11">
        <f>44000+42562+320461</f>
        <v>407023</v>
      </c>
      <c r="Q13" s="11">
        <f t="shared" si="3"/>
        <v>1059278</v>
      </c>
      <c r="R13" s="11">
        <v>1059278</v>
      </c>
      <c r="S13" s="11">
        <f>3500+44487-60-650+5264+16540</f>
        <v>69081</v>
      </c>
      <c r="T13" s="11">
        <f t="shared" si="4"/>
        <v>1128359</v>
      </c>
      <c r="U13" s="11">
        <v>69081</v>
      </c>
      <c r="V13" s="26">
        <f t="shared" si="5"/>
        <v>0.06521517486438877</v>
      </c>
      <c r="W13" s="26">
        <f t="shared" si="6"/>
        <v>0.0444055191121596</v>
      </c>
    </row>
    <row r="14" spans="1:23" ht="18.75">
      <c r="A14" s="6" t="s">
        <v>49</v>
      </c>
      <c r="B14" s="7" t="s">
        <v>7</v>
      </c>
      <c r="C14" s="8">
        <v>28520</v>
      </c>
      <c r="D14" s="8">
        <f>SUM(D15:D15)</f>
        <v>-10927</v>
      </c>
      <c r="E14" s="8">
        <f t="shared" si="0"/>
        <v>17593</v>
      </c>
      <c r="F14" s="8">
        <f>SUM(F15:F15)</f>
        <v>0</v>
      </c>
      <c r="G14" s="8">
        <f t="shared" si="0"/>
        <v>17593</v>
      </c>
      <c r="H14" s="8">
        <f>SUM(H15:H15)</f>
        <v>33972</v>
      </c>
      <c r="I14" s="8">
        <f>SUM(I15:I15)</f>
        <v>0</v>
      </c>
      <c r="J14" s="8">
        <v>31691</v>
      </c>
      <c r="K14" s="8">
        <f>SUM(K15:K15)</f>
        <v>0</v>
      </c>
      <c r="L14" s="8">
        <f t="shared" si="1"/>
        <v>31691</v>
      </c>
      <c r="M14" s="8">
        <v>33972</v>
      </c>
      <c r="N14" s="8">
        <f>SUM(N15:N15)</f>
        <v>0</v>
      </c>
      <c r="O14" s="8">
        <f t="shared" si="2"/>
        <v>33972</v>
      </c>
      <c r="P14" s="8">
        <f>SUM(P15:P15)</f>
        <v>0</v>
      </c>
      <c r="Q14" s="8">
        <f t="shared" si="3"/>
        <v>17593</v>
      </c>
      <c r="R14" s="8">
        <v>17593</v>
      </c>
      <c r="S14" s="8">
        <f>SUM(S15:S15)</f>
        <v>-489</v>
      </c>
      <c r="T14" s="8">
        <f t="shared" si="4"/>
        <v>17104</v>
      </c>
      <c r="U14" s="8">
        <v>-489</v>
      </c>
      <c r="V14" s="27">
        <f t="shared" si="5"/>
        <v>-0.027795145796623656</v>
      </c>
      <c r="W14" s="27">
        <f t="shared" si="6"/>
        <v>-0.0003143309860286626</v>
      </c>
    </row>
    <row r="15" spans="1:23" ht="18.75">
      <c r="A15" s="9" t="s">
        <v>92</v>
      </c>
      <c r="B15" s="10" t="s">
        <v>8</v>
      </c>
      <c r="C15" s="11">
        <v>28520</v>
      </c>
      <c r="D15" s="11">
        <v>-10927</v>
      </c>
      <c r="E15" s="11">
        <f t="shared" si="0"/>
        <v>17593</v>
      </c>
      <c r="F15" s="11"/>
      <c r="G15" s="11">
        <f t="shared" si="0"/>
        <v>17593</v>
      </c>
      <c r="H15" s="11">
        <f>6684+12592+14696</f>
        <v>33972</v>
      </c>
      <c r="I15" s="11"/>
      <c r="J15" s="11">
        <v>31691</v>
      </c>
      <c r="K15" s="11"/>
      <c r="L15" s="11">
        <f t="shared" si="1"/>
        <v>31691</v>
      </c>
      <c r="M15" s="11">
        <v>33972</v>
      </c>
      <c r="N15" s="11"/>
      <c r="O15" s="11">
        <f t="shared" si="2"/>
        <v>33972</v>
      </c>
      <c r="P15" s="11"/>
      <c r="Q15" s="11">
        <f t="shared" si="3"/>
        <v>17593</v>
      </c>
      <c r="R15" s="11">
        <v>17593</v>
      </c>
      <c r="S15" s="11">
        <v>-489</v>
      </c>
      <c r="T15" s="11">
        <f t="shared" si="4"/>
        <v>17104</v>
      </c>
      <c r="U15" s="11">
        <v>-489</v>
      </c>
      <c r="V15" s="26">
        <f t="shared" si="5"/>
        <v>-0.027795145796623656</v>
      </c>
      <c r="W15" s="26">
        <f t="shared" si="6"/>
        <v>-0.0003143309860286626</v>
      </c>
    </row>
    <row r="16" spans="1:23" ht="37.5">
      <c r="A16" s="6" t="s">
        <v>50</v>
      </c>
      <c r="B16" s="7" t="s">
        <v>9</v>
      </c>
      <c r="C16" s="8">
        <v>1205234</v>
      </c>
      <c r="D16" s="8">
        <f>SUM(D17:D19)</f>
        <v>29924</v>
      </c>
      <c r="E16" s="8">
        <f t="shared" si="0"/>
        <v>1235158</v>
      </c>
      <c r="F16" s="8">
        <f>SUM(F17:F19)</f>
        <v>-104984</v>
      </c>
      <c r="G16" s="8">
        <f t="shared" si="0"/>
        <v>1130174</v>
      </c>
      <c r="H16" s="8">
        <f>SUM(H17:H19)</f>
        <v>1419885</v>
      </c>
      <c r="I16" s="8">
        <f>SUM(I17:I19)</f>
        <v>0</v>
      </c>
      <c r="J16" s="8">
        <v>1354476</v>
      </c>
      <c r="K16" s="8">
        <f>SUM(K17:K19)</f>
        <v>0</v>
      </c>
      <c r="L16" s="8">
        <f t="shared" si="1"/>
        <v>1354476</v>
      </c>
      <c r="M16" s="8">
        <v>1419885</v>
      </c>
      <c r="N16" s="8">
        <f>SUM(N17:N19)</f>
        <v>0</v>
      </c>
      <c r="O16" s="8">
        <f t="shared" si="2"/>
        <v>1419885</v>
      </c>
      <c r="P16" s="8">
        <f>SUM(P17:P19)</f>
        <v>-7800</v>
      </c>
      <c r="Q16" s="8">
        <f t="shared" si="3"/>
        <v>1122374</v>
      </c>
      <c r="R16" s="8">
        <v>1122374</v>
      </c>
      <c r="S16" s="8">
        <f>SUM(S17:S19)</f>
        <v>8520</v>
      </c>
      <c r="T16" s="8">
        <f t="shared" si="4"/>
        <v>1130894</v>
      </c>
      <c r="U16" s="8">
        <v>8520</v>
      </c>
      <c r="V16" s="27">
        <f t="shared" si="5"/>
        <v>0.0075910525368549165</v>
      </c>
      <c r="W16" s="27">
        <f t="shared" si="6"/>
        <v>0.005476687118536208</v>
      </c>
    </row>
    <row r="17" spans="1:23" ht="18.75" hidden="1">
      <c r="A17" s="9" t="s">
        <v>51</v>
      </c>
      <c r="B17" s="10" t="s">
        <v>10</v>
      </c>
      <c r="C17" s="11">
        <v>811129</v>
      </c>
      <c r="D17" s="11">
        <v>18997</v>
      </c>
      <c r="E17" s="11">
        <f t="shared" si="0"/>
        <v>830126</v>
      </c>
      <c r="F17" s="11">
        <f>-41800+600</f>
        <v>-41200</v>
      </c>
      <c r="G17" s="11">
        <f t="shared" si="0"/>
        <v>788926</v>
      </c>
      <c r="H17" s="11">
        <v>913684</v>
      </c>
      <c r="I17" s="11"/>
      <c r="J17" s="11">
        <v>881200</v>
      </c>
      <c r="K17" s="11"/>
      <c r="L17" s="11">
        <f t="shared" si="1"/>
        <v>881200</v>
      </c>
      <c r="M17" s="11">
        <v>913684</v>
      </c>
      <c r="N17" s="11"/>
      <c r="O17" s="11">
        <f t="shared" si="2"/>
        <v>913684</v>
      </c>
      <c r="P17" s="11">
        <v>-7800</v>
      </c>
      <c r="Q17" s="11">
        <f t="shared" si="3"/>
        <v>781126</v>
      </c>
      <c r="R17" s="11">
        <v>781126</v>
      </c>
      <c r="S17" s="11"/>
      <c r="T17" s="11">
        <f t="shared" si="4"/>
        <v>781126</v>
      </c>
      <c r="U17" s="11"/>
      <c r="V17" s="26">
        <f t="shared" si="5"/>
        <v>0</v>
      </c>
      <c r="W17" s="26">
        <f t="shared" si="6"/>
        <v>0</v>
      </c>
    </row>
    <row r="18" spans="1:23" ht="37.5">
      <c r="A18" s="9" t="s">
        <v>52</v>
      </c>
      <c r="B18" s="10" t="s">
        <v>132</v>
      </c>
      <c r="C18" s="11">
        <v>102641</v>
      </c>
      <c r="D18" s="11">
        <f>8000+10927-8000</f>
        <v>10927</v>
      </c>
      <c r="E18" s="11">
        <f t="shared" si="0"/>
        <v>113568</v>
      </c>
      <c r="F18" s="11">
        <f>-4630-10180</f>
        <v>-14810</v>
      </c>
      <c r="G18" s="11">
        <f t="shared" si="0"/>
        <v>98758</v>
      </c>
      <c r="H18" s="11">
        <f>16000+94490+277</f>
        <v>110767</v>
      </c>
      <c r="I18" s="11"/>
      <c r="J18" s="11">
        <v>104401</v>
      </c>
      <c r="K18" s="11"/>
      <c r="L18" s="11">
        <f t="shared" si="1"/>
        <v>104401</v>
      </c>
      <c r="M18" s="11">
        <v>110767</v>
      </c>
      <c r="N18" s="11"/>
      <c r="O18" s="11">
        <f t="shared" si="2"/>
        <v>110767</v>
      </c>
      <c r="P18" s="11"/>
      <c r="Q18" s="11">
        <f t="shared" si="3"/>
        <v>98758</v>
      </c>
      <c r="R18" s="11">
        <v>98758</v>
      </c>
      <c r="S18" s="11">
        <v>870</v>
      </c>
      <c r="T18" s="11">
        <f t="shared" si="4"/>
        <v>99628</v>
      </c>
      <c r="U18" s="11">
        <v>870</v>
      </c>
      <c r="V18" s="26">
        <f t="shared" si="5"/>
        <v>0.008809412908321351</v>
      </c>
      <c r="W18" s="26">
        <f t="shared" si="6"/>
        <v>0.0005592391775970071</v>
      </c>
    </row>
    <row r="19" spans="1:23" s="12" customFormat="1" ht="18.75">
      <c r="A19" s="9" t="s">
        <v>53</v>
      </c>
      <c r="B19" s="10" t="s">
        <v>93</v>
      </c>
      <c r="C19" s="11">
        <v>291464</v>
      </c>
      <c r="D19" s="11"/>
      <c r="E19" s="11">
        <f t="shared" si="0"/>
        <v>291464</v>
      </c>
      <c r="F19" s="11">
        <v>-48974</v>
      </c>
      <c r="G19" s="11">
        <f t="shared" si="0"/>
        <v>242490</v>
      </c>
      <c r="H19" s="11">
        <v>395434</v>
      </c>
      <c r="I19" s="11"/>
      <c r="J19" s="11">
        <v>368875</v>
      </c>
      <c r="K19" s="11"/>
      <c r="L19" s="11">
        <f t="shared" si="1"/>
        <v>368875</v>
      </c>
      <c r="M19" s="11">
        <v>395434</v>
      </c>
      <c r="N19" s="11"/>
      <c r="O19" s="11">
        <f t="shared" si="2"/>
        <v>395434</v>
      </c>
      <c r="P19" s="11"/>
      <c r="Q19" s="11">
        <f t="shared" si="3"/>
        <v>242490</v>
      </c>
      <c r="R19" s="11">
        <v>242490</v>
      </c>
      <c r="S19" s="11">
        <v>7650</v>
      </c>
      <c r="T19" s="11">
        <f t="shared" si="4"/>
        <v>250140</v>
      </c>
      <c r="U19" s="11">
        <v>7650</v>
      </c>
      <c r="V19" s="26">
        <f t="shared" si="5"/>
        <v>0.03154769268835828</v>
      </c>
      <c r="W19" s="26">
        <f t="shared" si="6"/>
        <v>0.004917447940939201</v>
      </c>
    </row>
    <row r="20" spans="1:23" ht="18.75">
      <c r="A20" s="6" t="s">
        <v>54</v>
      </c>
      <c r="B20" s="7" t="s">
        <v>11</v>
      </c>
      <c r="C20" s="8">
        <v>7231317</v>
      </c>
      <c r="D20" s="8">
        <f>SUM(D21:D29)</f>
        <v>288289</v>
      </c>
      <c r="E20" s="8">
        <f t="shared" si="0"/>
        <v>7519606</v>
      </c>
      <c r="F20" s="8">
        <f>SUM(F21:F29)</f>
        <v>-767473</v>
      </c>
      <c r="G20" s="8">
        <f t="shared" si="0"/>
        <v>6752133</v>
      </c>
      <c r="H20" s="8">
        <f>SUM(H21:H29)</f>
        <v>4500215</v>
      </c>
      <c r="I20" s="8">
        <f>SUM(I21:I29)</f>
        <v>1050</v>
      </c>
      <c r="J20" s="8">
        <v>6235732</v>
      </c>
      <c r="K20" s="8">
        <f>SUM(K21:K29)</f>
        <v>0</v>
      </c>
      <c r="L20" s="8">
        <f t="shared" si="1"/>
        <v>6235732</v>
      </c>
      <c r="M20" s="8">
        <v>4501265</v>
      </c>
      <c r="N20" s="8">
        <f>SUM(N21:N29)</f>
        <v>0</v>
      </c>
      <c r="O20" s="8">
        <f t="shared" si="2"/>
        <v>4501265</v>
      </c>
      <c r="P20" s="8">
        <f>SUM(P21:P29)</f>
        <v>-42743</v>
      </c>
      <c r="Q20" s="8">
        <f t="shared" si="3"/>
        <v>6709390</v>
      </c>
      <c r="R20" s="8">
        <v>6709390</v>
      </c>
      <c r="S20" s="8">
        <f>SUM(S21:S29)</f>
        <v>274139</v>
      </c>
      <c r="T20" s="8">
        <f t="shared" si="4"/>
        <v>6983529</v>
      </c>
      <c r="U20" s="8">
        <v>274139</v>
      </c>
      <c r="V20" s="27">
        <f t="shared" si="5"/>
        <v>0.04085900506603432</v>
      </c>
      <c r="W20" s="27">
        <f t="shared" si="6"/>
        <v>0.17621755046812176</v>
      </c>
    </row>
    <row r="21" spans="1:23" s="12" customFormat="1" ht="18.75">
      <c r="A21" s="9" t="s">
        <v>55</v>
      </c>
      <c r="B21" s="10" t="s">
        <v>12</v>
      </c>
      <c r="C21" s="11">
        <v>229354</v>
      </c>
      <c r="D21" s="11">
        <v>187245</v>
      </c>
      <c r="E21" s="11">
        <f t="shared" si="0"/>
        <v>416599</v>
      </c>
      <c r="F21" s="11">
        <v>-10000</v>
      </c>
      <c r="G21" s="11">
        <f t="shared" si="0"/>
        <v>406599</v>
      </c>
      <c r="H21" s="11">
        <v>246519</v>
      </c>
      <c r="I21" s="11"/>
      <c r="J21" s="11">
        <v>230126</v>
      </c>
      <c r="K21" s="11"/>
      <c r="L21" s="11">
        <f t="shared" si="1"/>
        <v>230126</v>
      </c>
      <c r="M21" s="11">
        <v>246519</v>
      </c>
      <c r="N21" s="11"/>
      <c r="O21" s="11">
        <f t="shared" si="2"/>
        <v>246519</v>
      </c>
      <c r="P21" s="11">
        <v>51846</v>
      </c>
      <c r="Q21" s="11">
        <f t="shared" si="3"/>
        <v>458445</v>
      </c>
      <c r="R21" s="11">
        <v>458445</v>
      </c>
      <c r="S21" s="11">
        <f>226723+8414</f>
        <v>235137</v>
      </c>
      <c r="T21" s="11">
        <f t="shared" si="4"/>
        <v>693582</v>
      </c>
      <c r="U21" s="11">
        <v>235137</v>
      </c>
      <c r="V21" s="26">
        <f t="shared" si="5"/>
        <v>0.5129012204299316</v>
      </c>
      <c r="W21" s="26">
        <f t="shared" si="6"/>
        <v>0.15114692241681318</v>
      </c>
    </row>
    <row r="22" spans="1:23" ht="18.75" hidden="1">
      <c r="A22" s="9" t="s">
        <v>56</v>
      </c>
      <c r="B22" s="10" t="s">
        <v>139</v>
      </c>
      <c r="C22" s="11">
        <v>36988</v>
      </c>
      <c r="D22" s="11"/>
      <c r="E22" s="11">
        <f t="shared" si="0"/>
        <v>36988</v>
      </c>
      <c r="F22" s="11">
        <v>-400</v>
      </c>
      <c r="G22" s="11">
        <f t="shared" si="0"/>
        <v>36588</v>
      </c>
      <c r="H22" s="11">
        <f>3802+46117</f>
        <v>49919</v>
      </c>
      <c r="I22" s="11"/>
      <c r="J22" s="11">
        <v>46620</v>
      </c>
      <c r="K22" s="11"/>
      <c r="L22" s="11">
        <f t="shared" si="1"/>
        <v>46620</v>
      </c>
      <c r="M22" s="11">
        <v>49919</v>
      </c>
      <c r="N22" s="11"/>
      <c r="O22" s="11">
        <f t="shared" si="2"/>
        <v>49919</v>
      </c>
      <c r="P22" s="11"/>
      <c r="Q22" s="11">
        <f t="shared" si="3"/>
        <v>36588</v>
      </c>
      <c r="R22" s="11">
        <v>36588</v>
      </c>
      <c r="S22" s="11"/>
      <c r="T22" s="11">
        <f t="shared" si="4"/>
        <v>36588</v>
      </c>
      <c r="U22" s="11"/>
      <c r="V22" s="26">
        <f t="shared" si="5"/>
        <v>0</v>
      </c>
      <c r="W22" s="26">
        <f t="shared" si="6"/>
        <v>0</v>
      </c>
    </row>
    <row r="23" spans="1:23" ht="31.5" customHeight="1" hidden="1">
      <c r="A23" s="9" t="s">
        <v>57</v>
      </c>
      <c r="B23" s="10" t="s">
        <v>13</v>
      </c>
      <c r="C23" s="11">
        <v>3700</v>
      </c>
      <c r="D23" s="11"/>
      <c r="E23" s="11">
        <f t="shared" si="0"/>
        <v>3700</v>
      </c>
      <c r="F23" s="11"/>
      <c r="G23" s="11">
        <f t="shared" si="0"/>
        <v>3700</v>
      </c>
      <c r="H23" s="11">
        <v>4200</v>
      </c>
      <c r="I23" s="11"/>
      <c r="J23" s="11">
        <v>3900</v>
      </c>
      <c r="K23" s="11"/>
      <c r="L23" s="11">
        <f t="shared" si="1"/>
        <v>3900</v>
      </c>
      <c r="M23" s="11">
        <v>4200</v>
      </c>
      <c r="N23" s="11"/>
      <c r="O23" s="11">
        <f t="shared" si="2"/>
        <v>4200</v>
      </c>
      <c r="P23" s="11"/>
      <c r="Q23" s="11">
        <f t="shared" si="3"/>
        <v>3700</v>
      </c>
      <c r="R23" s="11">
        <v>3700</v>
      </c>
      <c r="S23" s="11"/>
      <c r="T23" s="11">
        <f t="shared" si="4"/>
        <v>3700</v>
      </c>
      <c r="U23" s="11"/>
      <c r="V23" s="26">
        <f t="shared" si="5"/>
        <v>0</v>
      </c>
      <c r="W23" s="26">
        <f t="shared" si="6"/>
        <v>0</v>
      </c>
    </row>
    <row r="24" spans="1:23" ht="18.75">
      <c r="A24" s="9" t="s">
        <v>58</v>
      </c>
      <c r="B24" s="10" t="s">
        <v>14</v>
      </c>
      <c r="C24" s="11">
        <v>700510</v>
      </c>
      <c r="D24" s="11">
        <f>28260+1138</f>
        <v>29398</v>
      </c>
      <c r="E24" s="11">
        <f t="shared" si="0"/>
        <v>729908</v>
      </c>
      <c r="F24" s="11">
        <v>385</v>
      </c>
      <c r="G24" s="11">
        <f t="shared" si="0"/>
        <v>730293</v>
      </c>
      <c r="H24" s="11">
        <f>687840+91253</f>
        <v>779093</v>
      </c>
      <c r="I24" s="11"/>
      <c r="J24" s="11">
        <v>768824</v>
      </c>
      <c r="K24" s="11"/>
      <c r="L24" s="11">
        <f t="shared" si="1"/>
        <v>768824</v>
      </c>
      <c r="M24" s="11">
        <v>779093</v>
      </c>
      <c r="N24" s="11"/>
      <c r="O24" s="11">
        <f t="shared" si="2"/>
        <v>779093</v>
      </c>
      <c r="P24" s="11"/>
      <c r="Q24" s="11">
        <f t="shared" si="3"/>
        <v>730293</v>
      </c>
      <c r="R24" s="11">
        <v>730293</v>
      </c>
      <c r="S24" s="11">
        <f>510217+60+368</f>
        <v>510645</v>
      </c>
      <c r="T24" s="11">
        <f t="shared" si="4"/>
        <v>1240938</v>
      </c>
      <c r="U24" s="11">
        <v>510645</v>
      </c>
      <c r="V24" s="26">
        <f t="shared" si="5"/>
        <v>0.6992330475576242</v>
      </c>
      <c r="W24" s="26">
        <f t="shared" si="6"/>
        <v>0.3282444710850847</v>
      </c>
    </row>
    <row r="25" spans="1:23" s="12" customFormat="1" ht="18.75" hidden="1">
      <c r="A25" s="9" t="s">
        <v>88</v>
      </c>
      <c r="B25" s="10" t="s">
        <v>145</v>
      </c>
      <c r="C25" s="11">
        <v>14243</v>
      </c>
      <c r="D25" s="11">
        <v>11150</v>
      </c>
      <c r="E25" s="11">
        <f t="shared" si="0"/>
        <v>25393</v>
      </c>
      <c r="F25" s="11"/>
      <c r="G25" s="11">
        <f t="shared" si="0"/>
        <v>25393</v>
      </c>
      <c r="H25" s="11">
        <f>32369-16000</f>
        <v>16369</v>
      </c>
      <c r="I25" s="11"/>
      <c r="J25" s="11">
        <v>16369</v>
      </c>
      <c r="K25" s="11"/>
      <c r="L25" s="11">
        <f t="shared" si="1"/>
        <v>16369</v>
      </c>
      <c r="M25" s="11">
        <v>16369</v>
      </c>
      <c r="N25" s="11"/>
      <c r="O25" s="11">
        <f t="shared" si="2"/>
        <v>16369</v>
      </c>
      <c r="P25" s="11"/>
      <c r="Q25" s="11">
        <f t="shared" si="3"/>
        <v>25393</v>
      </c>
      <c r="R25" s="11">
        <v>25393</v>
      </c>
      <c r="S25" s="11"/>
      <c r="T25" s="11">
        <f t="shared" si="4"/>
        <v>25393</v>
      </c>
      <c r="U25" s="11"/>
      <c r="V25" s="26">
        <f t="shared" si="5"/>
        <v>0</v>
      </c>
      <c r="W25" s="26">
        <f t="shared" si="6"/>
        <v>0</v>
      </c>
    </row>
    <row r="26" spans="1:23" ht="18.75">
      <c r="A26" s="9" t="s">
        <v>79</v>
      </c>
      <c r="B26" s="10" t="s">
        <v>15</v>
      </c>
      <c r="C26" s="11">
        <v>148787</v>
      </c>
      <c r="D26" s="11">
        <f>1943+12776</f>
        <v>14719</v>
      </c>
      <c r="E26" s="11">
        <f t="shared" si="0"/>
        <v>163506</v>
      </c>
      <c r="F26" s="11"/>
      <c r="G26" s="11">
        <f t="shared" si="0"/>
        <v>163506</v>
      </c>
      <c r="H26" s="11">
        <f>129366+30000</f>
        <v>159366</v>
      </c>
      <c r="I26" s="11"/>
      <c r="J26" s="11">
        <v>157095</v>
      </c>
      <c r="K26" s="11"/>
      <c r="L26" s="11">
        <f t="shared" si="1"/>
        <v>157095</v>
      </c>
      <c r="M26" s="11">
        <v>159366</v>
      </c>
      <c r="N26" s="11"/>
      <c r="O26" s="11">
        <f t="shared" si="2"/>
        <v>159366</v>
      </c>
      <c r="P26" s="11"/>
      <c r="Q26" s="11">
        <f t="shared" si="3"/>
        <v>163506</v>
      </c>
      <c r="R26" s="11">
        <v>163506</v>
      </c>
      <c r="S26" s="11">
        <v>33</v>
      </c>
      <c r="T26" s="11">
        <f t="shared" si="4"/>
        <v>163539</v>
      </c>
      <c r="U26" s="11">
        <v>33</v>
      </c>
      <c r="V26" s="26">
        <f t="shared" si="5"/>
        <v>0.00020182745587317896</v>
      </c>
      <c r="W26" s="26">
        <f t="shared" si="6"/>
        <v>2.121252052954165E-05</v>
      </c>
    </row>
    <row r="27" spans="1:23" ht="18.75">
      <c r="A27" s="9" t="s">
        <v>59</v>
      </c>
      <c r="B27" s="10" t="s">
        <v>16</v>
      </c>
      <c r="C27" s="11">
        <v>250437</v>
      </c>
      <c r="D27" s="11"/>
      <c r="E27" s="11">
        <f t="shared" si="0"/>
        <v>250437</v>
      </c>
      <c r="F27" s="11">
        <v>8775</v>
      </c>
      <c r="G27" s="11">
        <f t="shared" si="0"/>
        <v>259212</v>
      </c>
      <c r="H27" s="11">
        <v>242507</v>
      </c>
      <c r="I27" s="11"/>
      <c r="J27" s="11">
        <v>240874</v>
      </c>
      <c r="K27" s="11"/>
      <c r="L27" s="11">
        <f t="shared" si="1"/>
        <v>240874</v>
      </c>
      <c r="M27" s="11">
        <v>242507</v>
      </c>
      <c r="N27" s="11"/>
      <c r="O27" s="11">
        <f t="shared" si="2"/>
        <v>242507</v>
      </c>
      <c r="P27" s="11">
        <v>-50000</v>
      </c>
      <c r="Q27" s="11">
        <f t="shared" si="3"/>
        <v>209212</v>
      </c>
      <c r="R27" s="11">
        <v>209212</v>
      </c>
      <c r="S27" s="11">
        <f>35587-5000+25000</f>
        <v>55587</v>
      </c>
      <c r="T27" s="11">
        <f t="shared" si="4"/>
        <v>264799</v>
      </c>
      <c r="U27" s="11">
        <v>55587</v>
      </c>
      <c r="V27" s="26">
        <f t="shared" si="5"/>
        <v>0.2656969963482018</v>
      </c>
      <c r="W27" s="26">
        <f t="shared" si="6"/>
        <v>0.03573152662653429</v>
      </c>
    </row>
    <row r="28" spans="1:23" ht="18.75">
      <c r="A28" s="9" t="s">
        <v>60</v>
      </c>
      <c r="B28" s="10" t="s">
        <v>150</v>
      </c>
      <c r="C28" s="11">
        <v>5661038</v>
      </c>
      <c r="D28" s="11">
        <f>2895-2575</f>
        <v>320</v>
      </c>
      <c r="E28" s="11">
        <f t="shared" si="0"/>
        <v>5661358</v>
      </c>
      <c r="F28" s="11">
        <v>-694825</v>
      </c>
      <c r="G28" s="11">
        <f t="shared" si="0"/>
        <v>4966533</v>
      </c>
      <c r="H28" s="11">
        <f>2591601+71324</f>
        <v>2662925</v>
      </c>
      <c r="I28" s="11"/>
      <c r="J28" s="11">
        <v>4516359</v>
      </c>
      <c r="K28" s="11"/>
      <c r="L28" s="11">
        <f t="shared" si="1"/>
        <v>4516359</v>
      </c>
      <c r="M28" s="11">
        <v>2662925</v>
      </c>
      <c r="N28" s="11"/>
      <c r="O28" s="11">
        <f t="shared" si="2"/>
        <v>2662925</v>
      </c>
      <c r="P28" s="11">
        <v>-44589</v>
      </c>
      <c r="Q28" s="11">
        <f t="shared" si="3"/>
        <v>4921944</v>
      </c>
      <c r="R28" s="11">
        <v>4921944</v>
      </c>
      <c r="S28" s="11">
        <f>-9450-623127-5067+3651</f>
        <v>-633993</v>
      </c>
      <c r="T28" s="11">
        <f t="shared" si="4"/>
        <v>4287951</v>
      </c>
      <c r="U28" s="11">
        <v>-633993</v>
      </c>
      <c r="V28" s="26">
        <f t="shared" si="5"/>
        <v>-0.12880947040437682</v>
      </c>
      <c r="W28" s="26">
        <f t="shared" si="6"/>
        <v>-0.40753301600259695</v>
      </c>
    </row>
    <row r="29" spans="1:23" ht="18.75">
      <c r="A29" s="9" t="s">
        <v>94</v>
      </c>
      <c r="B29" s="10" t="s">
        <v>17</v>
      </c>
      <c r="C29" s="11">
        <v>186260</v>
      </c>
      <c r="D29" s="11">
        <f>52179+1125-7847</f>
        <v>45457</v>
      </c>
      <c r="E29" s="11">
        <f t="shared" si="0"/>
        <v>231717</v>
      </c>
      <c r="F29" s="11">
        <f>-22762-49000+354</f>
        <v>-71408</v>
      </c>
      <c r="G29" s="11">
        <f t="shared" si="0"/>
        <v>160309</v>
      </c>
      <c r="H29" s="11">
        <f>3500+3000+221923+102827+8067</f>
        <v>339317</v>
      </c>
      <c r="I29" s="11">
        <v>1050</v>
      </c>
      <c r="J29" s="11">
        <v>255565</v>
      </c>
      <c r="K29" s="11"/>
      <c r="L29" s="11">
        <f t="shared" si="1"/>
        <v>255565</v>
      </c>
      <c r="M29" s="11">
        <v>340367</v>
      </c>
      <c r="N29" s="11"/>
      <c r="O29" s="11">
        <f t="shared" si="2"/>
        <v>340367</v>
      </c>
      <c r="P29" s="11"/>
      <c r="Q29" s="11">
        <f t="shared" si="3"/>
        <v>160309</v>
      </c>
      <c r="R29" s="11">
        <v>160309</v>
      </c>
      <c r="S29" s="11">
        <f>113300+13700-20270</f>
        <v>106730</v>
      </c>
      <c r="T29" s="11">
        <f t="shared" si="4"/>
        <v>267039</v>
      </c>
      <c r="U29" s="11">
        <v>106730</v>
      </c>
      <c r="V29" s="26">
        <f t="shared" si="5"/>
        <v>0.6657767187119875</v>
      </c>
      <c r="W29" s="26">
        <f t="shared" si="6"/>
        <v>0.06860643382175698</v>
      </c>
    </row>
    <row r="30" spans="1:23" ht="18.75">
      <c r="A30" s="6" t="s">
        <v>61</v>
      </c>
      <c r="B30" s="7" t="s">
        <v>18</v>
      </c>
      <c r="C30" s="8">
        <v>648345</v>
      </c>
      <c r="D30" s="8">
        <f>SUM(D31:D33)</f>
        <v>61707</v>
      </c>
      <c r="E30" s="8">
        <f t="shared" si="0"/>
        <v>710052</v>
      </c>
      <c r="F30" s="8">
        <f>SUM(F31:F33)</f>
        <v>8235</v>
      </c>
      <c r="G30" s="8">
        <f t="shared" si="0"/>
        <v>718287</v>
      </c>
      <c r="H30" s="8">
        <f>SUM(H31:H33)</f>
        <v>497917</v>
      </c>
      <c r="I30" s="8">
        <f>SUM(I31:I33)</f>
        <v>0</v>
      </c>
      <c r="J30" s="8">
        <v>377954</v>
      </c>
      <c r="K30" s="8">
        <f>SUM(K31:K33)</f>
        <v>0</v>
      </c>
      <c r="L30" s="8">
        <f t="shared" si="1"/>
        <v>377954</v>
      </c>
      <c r="M30" s="8">
        <v>497917</v>
      </c>
      <c r="N30" s="8">
        <f>SUM(N31:N33)</f>
        <v>0</v>
      </c>
      <c r="O30" s="8">
        <f t="shared" si="2"/>
        <v>497917</v>
      </c>
      <c r="P30" s="8">
        <f>SUM(P31:P33)</f>
        <v>-27000</v>
      </c>
      <c r="Q30" s="8">
        <f t="shared" si="3"/>
        <v>691287</v>
      </c>
      <c r="R30" s="8">
        <v>691287</v>
      </c>
      <c r="S30" s="8">
        <f>SUM(S31:S33)</f>
        <v>3070</v>
      </c>
      <c r="T30" s="8">
        <f t="shared" si="4"/>
        <v>694357</v>
      </c>
      <c r="U30" s="8">
        <v>3070</v>
      </c>
      <c r="V30" s="27">
        <f t="shared" si="5"/>
        <v>0.0044409919469048315</v>
      </c>
      <c r="W30" s="27">
        <f t="shared" si="6"/>
        <v>0.0019734072128997837</v>
      </c>
    </row>
    <row r="31" spans="1:23" ht="18.75" hidden="1">
      <c r="A31" s="9" t="s">
        <v>95</v>
      </c>
      <c r="B31" s="10" t="s">
        <v>19</v>
      </c>
      <c r="C31" s="11">
        <v>559030</v>
      </c>
      <c r="D31" s="11">
        <v>61707</v>
      </c>
      <c r="E31" s="11">
        <f t="shared" si="0"/>
        <v>620737</v>
      </c>
      <c r="F31" s="11"/>
      <c r="G31" s="11">
        <f t="shared" si="0"/>
        <v>620737</v>
      </c>
      <c r="H31" s="11"/>
      <c r="I31" s="11"/>
      <c r="J31" s="11">
        <v>0</v>
      </c>
      <c r="K31" s="11"/>
      <c r="L31" s="11">
        <f t="shared" si="1"/>
        <v>0</v>
      </c>
      <c r="M31" s="11">
        <v>0</v>
      </c>
      <c r="N31" s="11"/>
      <c r="O31" s="11">
        <f t="shared" si="2"/>
        <v>0</v>
      </c>
      <c r="P31" s="11"/>
      <c r="Q31" s="11">
        <f t="shared" si="3"/>
        <v>620737</v>
      </c>
      <c r="R31" s="11">
        <v>620737</v>
      </c>
      <c r="S31" s="11"/>
      <c r="T31" s="11">
        <f t="shared" si="4"/>
        <v>620737</v>
      </c>
      <c r="U31" s="11"/>
      <c r="V31" s="26">
        <f t="shared" si="5"/>
        <v>0</v>
      </c>
      <c r="W31" s="26">
        <f t="shared" si="6"/>
        <v>0</v>
      </c>
    </row>
    <row r="32" spans="1:23" ht="18.75" hidden="1">
      <c r="A32" s="9" t="s">
        <v>80</v>
      </c>
      <c r="B32" s="10" t="s">
        <v>20</v>
      </c>
      <c r="C32" s="11">
        <v>35000</v>
      </c>
      <c r="D32" s="11"/>
      <c r="E32" s="11">
        <f t="shared" si="0"/>
        <v>35000</v>
      </c>
      <c r="F32" s="11">
        <v>25000</v>
      </c>
      <c r="G32" s="11">
        <f t="shared" si="0"/>
        <v>60000</v>
      </c>
      <c r="H32" s="11">
        <v>430651</v>
      </c>
      <c r="I32" s="11"/>
      <c r="J32" s="11">
        <v>315259</v>
      </c>
      <c r="K32" s="11"/>
      <c r="L32" s="11">
        <f t="shared" si="1"/>
        <v>315259</v>
      </c>
      <c r="M32" s="11">
        <v>430651</v>
      </c>
      <c r="N32" s="11"/>
      <c r="O32" s="11">
        <f t="shared" si="2"/>
        <v>430651</v>
      </c>
      <c r="P32" s="11">
        <v>-27000</v>
      </c>
      <c r="Q32" s="11">
        <f t="shared" si="3"/>
        <v>33000</v>
      </c>
      <c r="R32" s="11">
        <v>33000</v>
      </c>
      <c r="S32" s="11"/>
      <c r="T32" s="11">
        <f t="shared" si="4"/>
        <v>33000</v>
      </c>
      <c r="U32" s="11"/>
      <c r="V32" s="26">
        <f t="shared" si="5"/>
        <v>0</v>
      </c>
      <c r="W32" s="26">
        <f t="shared" si="6"/>
        <v>0</v>
      </c>
    </row>
    <row r="33" spans="1:23" ht="18.75">
      <c r="A33" s="9" t="s">
        <v>96</v>
      </c>
      <c r="B33" s="10" t="s">
        <v>21</v>
      </c>
      <c r="C33" s="11">
        <v>54315</v>
      </c>
      <c r="D33" s="11"/>
      <c r="E33" s="11">
        <f t="shared" si="0"/>
        <v>54315</v>
      </c>
      <c r="F33" s="11">
        <f>-540-16225</f>
        <v>-16765</v>
      </c>
      <c r="G33" s="11">
        <f t="shared" si="0"/>
        <v>37550</v>
      </c>
      <c r="H33" s="11">
        <f>18755+48511</f>
        <v>67266</v>
      </c>
      <c r="I33" s="11"/>
      <c r="J33" s="11">
        <v>62695</v>
      </c>
      <c r="K33" s="11"/>
      <c r="L33" s="11">
        <f t="shared" si="1"/>
        <v>62695</v>
      </c>
      <c r="M33" s="11">
        <v>67266</v>
      </c>
      <c r="N33" s="11"/>
      <c r="O33" s="11">
        <f t="shared" si="2"/>
        <v>67266</v>
      </c>
      <c r="P33" s="11"/>
      <c r="Q33" s="11">
        <f t="shared" si="3"/>
        <v>37550</v>
      </c>
      <c r="R33" s="11">
        <v>37550</v>
      </c>
      <c r="S33" s="11">
        <v>3070</v>
      </c>
      <c r="T33" s="11">
        <f t="shared" si="4"/>
        <v>40620</v>
      </c>
      <c r="U33" s="11">
        <v>3070</v>
      </c>
      <c r="V33" s="26">
        <f t="shared" si="5"/>
        <v>0.08175765645805592</v>
      </c>
      <c r="W33" s="26">
        <f t="shared" si="6"/>
        <v>0.0019734072128997837</v>
      </c>
    </row>
    <row r="34" spans="1:23" ht="18.75">
      <c r="A34" s="6" t="s">
        <v>62</v>
      </c>
      <c r="B34" s="7" t="s">
        <v>22</v>
      </c>
      <c r="C34" s="8">
        <v>45340</v>
      </c>
      <c r="D34" s="8">
        <f>SUM(D35:D35)</f>
        <v>0</v>
      </c>
      <c r="E34" s="8">
        <f t="shared" si="0"/>
        <v>45340</v>
      </c>
      <c r="F34" s="8">
        <f>SUM(F35:F35)</f>
        <v>-2000</v>
      </c>
      <c r="G34" s="8">
        <f t="shared" si="0"/>
        <v>43340</v>
      </c>
      <c r="H34" s="8">
        <f>SUM(H35:H35)</f>
        <v>59262</v>
      </c>
      <c r="I34" s="8">
        <f>SUM(I35:I35)</f>
        <v>0</v>
      </c>
      <c r="J34" s="8">
        <v>55214</v>
      </c>
      <c r="K34" s="8">
        <f>SUM(K35:K35)</f>
        <v>0</v>
      </c>
      <c r="L34" s="8">
        <f t="shared" si="1"/>
        <v>55214</v>
      </c>
      <c r="M34" s="8">
        <v>59262</v>
      </c>
      <c r="N34" s="8">
        <f>SUM(N35:N35)</f>
        <v>0</v>
      </c>
      <c r="O34" s="8">
        <f t="shared" si="2"/>
        <v>59262</v>
      </c>
      <c r="P34" s="8">
        <f>SUM(P35:P35)</f>
        <v>0</v>
      </c>
      <c r="Q34" s="8">
        <f t="shared" si="3"/>
        <v>43340</v>
      </c>
      <c r="R34" s="8">
        <v>43340</v>
      </c>
      <c r="S34" s="8">
        <f>SUM(S35:S35)</f>
        <v>32</v>
      </c>
      <c r="T34" s="8">
        <f t="shared" si="4"/>
        <v>43372</v>
      </c>
      <c r="U34" s="8">
        <v>32</v>
      </c>
      <c r="V34" s="27">
        <f t="shared" si="5"/>
        <v>0.0007383479464697738</v>
      </c>
      <c r="W34" s="27">
        <f t="shared" si="6"/>
        <v>2.0569716877131295E-05</v>
      </c>
    </row>
    <row r="35" spans="1:23" s="12" customFormat="1" ht="18.75">
      <c r="A35" s="9" t="s">
        <v>97</v>
      </c>
      <c r="B35" s="10" t="s">
        <v>23</v>
      </c>
      <c r="C35" s="11">
        <v>45340</v>
      </c>
      <c r="D35" s="11"/>
      <c r="E35" s="11">
        <f t="shared" si="0"/>
        <v>45340</v>
      </c>
      <c r="F35" s="11">
        <v>-2000</v>
      </c>
      <c r="G35" s="11">
        <f t="shared" si="0"/>
        <v>43340</v>
      </c>
      <c r="H35" s="11">
        <f>11623+47639</f>
        <v>59262</v>
      </c>
      <c r="I35" s="11"/>
      <c r="J35" s="11">
        <v>55214</v>
      </c>
      <c r="K35" s="11"/>
      <c r="L35" s="11">
        <f t="shared" si="1"/>
        <v>55214</v>
      </c>
      <c r="M35" s="11">
        <v>59262</v>
      </c>
      <c r="N35" s="11"/>
      <c r="O35" s="11">
        <f t="shared" si="2"/>
        <v>59262</v>
      </c>
      <c r="P35" s="11"/>
      <c r="Q35" s="11">
        <f t="shared" si="3"/>
        <v>43340</v>
      </c>
      <c r="R35" s="11">
        <v>43340</v>
      </c>
      <c r="S35" s="11">
        <v>32</v>
      </c>
      <c r="T35" s="11">
        <f t="shared" si="4"/>
        <v>43372</v>
      </c>
      <c r="U35" s="11">
        <v>32</v>
      </c>
      <c r="V35" s="26">
        <f t="shared" si="5"/>
        <v>0.0007383479464697738</v>
      </c>
      <c r="W35" s="26">
        <f t="shared" si="6"/>
        <v>2.0569716877131295E-05</v>
      </c>
    </row>
    <row r="36" spans="1:23" ht="18.75">
      <c r="A36" s="6" t="s">
        <v>63</v>
      </c>
      <c r="B36" s="7" t="s">
        <v>24</v>
      </c>
      <c r="C36" s="8">
        <v>1987953</v>
      </c>
      <c r="D36" s="8">
        <f>SUM(D37:D42)</f>
        <v>-16729</v>
      </c>
      <c r="E36" s="8">
        <f t="shared" si="0"/>
        <v>1971224</v>
      </c>
      <c r="F36" s="8">
        <f>SUM(F37:F42)</f>
        <v>7262</v>
      </c>
      <c r="G36" s="8">
        <f t="shared" si="0"/>
        <v>1978486</v>
      </c>
      <c r="H36" s="8">
        <f>SUM(H37:H42)</f>
        <v>2371237</v>
      </c>
      <c r="I36" s="8">
        <f>SUM(I37:I42)</f>
        <v>250</v>
      </c>
      <c r="J36" s="8">
        <v>2216465</v>
      </c>
      <c r="K36" s="8">
        <f>SUM(K37:K42)</f>
        <v>0</v>
      </c>
      <c r="L36" s="8">
        <f t="shared" si="1"/>
        <v>2216465</v>
      </c>
      <c r="M36" s="8">
        <v>2371487</v>
      </c>
      <c r="N36" s="8">
        <f>SUM(N37:N42)</f>
        <v>0</v>
      </c>
      <c r="O36" s="8">
        <f t="shared" si="2"/>
        <v>2371487</v>
      </c>
      <c r="P36" s="8">
        <f>SUM(P37:P42)</f>
        <v>0</v>
      </c>
      <c r="Q36" s="8">
        <f t="shared" si="3"/>
        <v>1978486</v>
      </c>
      <c r="R36" s="8">
        <v>1978486</v>
      </c>
      <c r="S36" s="8">
        <f>SUM(S37:S42)</f>
        <v>-20347</v>
      </c>
      <c r="T36" s="8">
        <f t="shared" si="4"/>
        <v>1958139</v>
      </c>
      <c r="U36" s="8">
        <v>-20347</v>
      </c>
      <c r="V36" s="27">
        <f t="shared" si="5"/>
        <v>-0.010284126347115926</v>
      </c>
      <c r="W36" s="27">
        <f t="shared" si="6"/>
        <v>-0.013079125915593452</v>
      </c>
    </row>
    <row r="37" spans="1:23" ht="18.75">
      <c r="A37" s="9" t="s">
        <v>64</v>
      </c>
      <c r="B37" s="10" t="s">
        <v>25</v>
      </c>
      <c r="C37" s="11">
        <v>536115</v>
      </c>
      <c r="D37" s="11">
        <v>-80</v>
      </c>
      <c r="E37" s="11">
        <f aca="true" t="shared" si="7" ref="E37:G72">C37+D37</f>
        <v>536035</v>
      </c>
      <c r="F37" s="11">
        <v>5695</v>
      </c>
      <c r="G37" s="11">
        <f t="shared" si="7"/>
        <v>541730</v>
      </c>
      <c r="H37" s="11">
        <v>618354</v>
      </c>
      <c r="I37" s="11"/>
      <c r="J37" s="11">
        <v>578110</v>
      </c>
      <c r="K37" s="11"/>
      <c r="L37" s="11">
        <f aca="true" t="shared" si="8" ref="L37:L73">J37+K37</f>
        <v>578110</v>
      </c>
      <c r="M37" s="11">
        <v>618354</v>
      </c>
      <c r="N37" s="11"/>
      <c r="O37" s="11">
        <f aca="true" t="shared" si="9" ref="O37:O73">M37+N37</f>
        <v>618354</v>
      </c>
      <c r="P37" s="11"/>
      <c r="Q37" s="11">
        <f t="shared" si="3"/>
        <v>541730</v>
      </c>
      <c r="R37" s="11">
        <v>541730</v>
      </c>
      <c r="S37" s="11">
        <v>-29717</v>
      </c>
      <c r="T37" s="11">
        <f t="shared" si="4"/>
        <v>512013</v>
      </c>
      <c r="U37" s="11">
        <v>-29717</v>
      </c>
      <c r="V37" s="26">
        <f t="shared" si="5"/>
        <v>-0.05485573994425267</v>
      </c>
      <c r="W37" s="26">
        <f t="shared" si="6"/>
        <v>-0.01910219613867846</v>
      </c>
    </row>
    <row r="38" spans="1:23" ht="19.5" customHeight="1">
      <c r="A38" s="9" t="s">
        <v>65</v>
      </c>
      <c r="B38" s="10" t="s">
        <v>26</v>
      </c>
      <c r="C38" s="11">
        <v>700822</v>
      </c>
      <c r="D38" s="11"/>
      <c r="E38" s="11">
        <f t="shared" si="7"/>
        <v>700822</v>
      </c>
      <c r="F38" s="11">
        <v>-1309</v>
      </c>
      <c r="G38" s="11">
        <f t="shared" si="7"/>
        <v>699513</v>
      </c>
      <c r="H38" s="11">
        <v>839151</v>
      </c>
      <c r="I38" s="11"/>
      <c r="J38" s="11">
        <v>782790</v>
      </c>
      <c r="K38" s="11"/>
      <c r="L38" s="11">
        <f t="shared" si="8"/>
        <v>782790</v>
      </c>
      <c r="M38" s="11">
        <v>839151</v>
      </c>
      <c r="N38" s="11"/>
      <c r="O38" s="11">
        <f t="shared" si="9"/>
        <v>839151</v>
      </c>
      <c r="P38" s="11"/>
      <c r="Q38" s="11">
        <f t="shared" si="3"/>
        <v>699513</v>
      </c>
      <c r="R38" s="11">
        <v>699513</v>
      </c>
      <c r="S38" s="11">
        <v>-3601</v>
      </c>
      <c r="T38" s="11">
        <f t="shared" si="4"/>
        <v>695912</v>
      </c>
      <c r="U38" s="11">
        <v>-3601</v>
      </c>
      <c r="V38" s="26">
        <f t="shared" si="5"/>
        <v>-0.005147867159009196</v>
      </c>
      <c r="W38" s="26">
        <f t="shared" si="6"/>
        <v>-0.0023147359523296813</v>
      </c>
    </row>
    <row r="39" spans="1:23" s="12" customFormat="1" ht="18.75">
      <c r="A39" s="9" t="s">
        <v>66</v>
      </c>
      <c r="B39" s="10" t="s">
        <v>27</v>
      </c>
      <c r="C39" s="11">
        <v>358433</v>
      </c>
      <c r="D39" s="11"/>
      <c r="E39" s="11">
        <f t="shared" si="7"/>
        <v>358433</v>
      </c>
      <c r="F39" s="11">
        <v>-6100</v>
      </c>
      <c r="G39" s="11">
        <f t="shared" si="7"/>
        <v>352333</v>
      </c>
      <c r="H39" s="11">
        <v>449528</v>
      </c>
      <c r="I39" s="11"/>
      <c r="J39" s="11">
        <v>419585</v>
      </c>
      <c r="K39" s="11"/>
      <c r="L39" s="11">
        <f t="shared" si="8"/>
        <v>419585</v>
      </c>
      <c r="M39" s="11">
        <v>449528</v>
      </c>
      <c r="N39" s="11"/>
      <c r="O39" s="11">
        <f t="shared" si="9"/>
        <v>449528</v>
      </c>
      <c r="P39" s="11"/>
      <c r="Q39" s="11">
        <f t="shared" si="3"/>
        <v>352333</v>
      </c>
      <c r="R39" s="11">
        <v>352333</v>
      </c>
      <c r="S39" s="11">
        <f>410-388+641</f>
        <v>663</v>
      </c>
      <c r="T39" s="11">
        <f t="shared" si="4"/>
        <v>352996</v>
      </c>
      <c r="U39" s="11">
        <v>663</v>
      </c>
      <c r="V39" s="26">
        <f t="shared" si="5"/>
        <v>0.0018817425560478298</v>
      </c>
      <c r="W39" s="26">
        <f t="shared" si="6"/>
        <v>0.00042617882154806405</v>
      </c>
    </row>
    <row r="40" spans="1:23" ht="37.5">
      <c r="A40" s="9" t="s">
        <v>67</v>
      </c>
      <c r="B40" s="10" t="s">
        <v>98</v>
      </c>
      <c r="C40" s="11">
        <v>55960</v>
      </c>
      <c r="D40" s="11"/>
      <c r="E40" s="11">
        <f t="shared" si="7"/>
        <v>55960</v>
      </c>
      <c r="F40" s="11">
        <f>429+445</f>
        <v>874</v>
      </c>
      <c r="G40" s="11">
        <f t="shared" si="7"/>
        <v>56834</v>
      </c>
      <c r="H40" s="11">
        <f>8039+57505+1049</f>
        <v>66593</v>
      </c>
      <c r="I40" s="11"/>
      <c r="J40" s="11">
        <v>62120</v>
      </c>
      <c r="K40" s="11"/>
      <c r="L40" s="11">
        <f t="shared" si="8"/>
        <v>62120</v>
      </c>
      <c r="M40" s="11">
        <v>66593</v>
      </c>
      <c r="N40" s="11"/>
      <c r="O40" s="11">
        <f t="shared" si="9"/>
        <v>66593</v>
      </c>
      <c r="P40" s="11"/>
      <c r="Q40" s="11">
        <f t="shared" si="3"/>
        <v>56834</v>
      </c>
      <c r="R40" s="11">
        <v>56834</v>
      </c>
      <c r="S40" s="11">
        <f>371+300</f>
        <v>671</v>
      </c>
      <c r="T40" s="11">
        <f t="shared" si="4"/>
        <v>57505</v>
      </c>
      <c r="U40" s="11">
        <v>671</v>
      </c>
      <c r="V40" s="26">
        <f t="shared" si="5"/>
        <v>0.011806313122426717</v>
      </c>
      <c r="W40" s="26">
        <f t="shared" si="6"/>
        <v>0.00043132125076734686</v>
      </c>
    </row>
    <row r="41" spans="1:23" s="12" customFormat="1" ht="18.75">
      <c r="A41" s="9" t="s">
        <v>68</v>
      </c>
      <c r="B41" s="10" t="s">
        <v>28</v>
      </c>
      <c r="C41" s="11">
        <v>59078</v>
      </c>
      <c r="D41" s="11">
        <v>-4000</v>
      </c>
      <c r="E41" s="11">
        <f t="shared" si="7"/>
        <v>55078</v>
      </c>
      <c r="F41" s="11"/>
      <c r="G41" s="11">
        <f t="shared" si="7"/>
        <v>55078</v>
      </c>
      <c r="H41" s="11">
        <f>55045+13797</f>
        <v>68842</v>
      </c>
      <c r="I41" s="11"/>
      <c r="J41" s="11">
        <v>64434</v>
      </c>
      <c r="K41" s="11"/>
      <c r="L41" s="11">
        <f t="shared" si="8"/>
        <v>64434</v>
      </c>
      <c r="M41" s="11">
        <v>68842</v>
      </c>
      <c r="N41" s="11"/>
      <c r="O41" s="11">
        <f t="shared" si="9"/>
        <v>68842</v>
      </c>
      <c r="P41" s="11"/>
      <c r="Q41" s="11">
        <f t="shared" si="3"/>
        <v>55078</v>
      </c>
      <c r="R41" s="11">
        <v>55078</v>
      </c>
      <c r="S41" s="11">
        <f>509+360+650</f>
        <v>1519</v>
      </c>
      <c r="T41" s="11">
        <f t="shared" si="4"/>
        <v>56597</v>
      </c>
      <c r="U41" s="11">
        <v>1519</v>
      </c>
      <c r="V41" s="26">
        <f t="shared" si="5"/>
        <v>0.027579069682995026</v>
      </c>
      <c r="W41" s="26">
        <f t="shared" si="6"/>
        <v>0.0009764187480113262</v>
      </c>
    </row>
    <row r="42" spans="1:23" ht="18.75">
      <c r="A42" s="9" t="s">
        <v>69</v>
      </c>
      <c r="B42" s="10" t="s">
        <v>29</v>
      </c>
      <c r="C42" s="11">
        <v>277545</v>
      </c>
      <c r="D42" s="11">
        <v>-12649</v>
      </c>
      <c r="E42" s="11">
        <f t="shared" si="7"/>
        <v>264896</v>
      </c>
      <c r="F42" s="11">
        <f>5533+2569</f>
        <v>8102</v>
      </c>
      <c r="G42" s="11">
        <f t="shared" si="7"/>
        <v>272998</v>
      </c>
      <c r="H42" s="11">
        <f>283674+45095</f>
        <v>328769</v>
      </c>
      <c r="I42" s="11">
        <v>250</v>
      </c>
      <c r="J42" s="11">
        <v>309426</v>
      </c>
      <c r="K42" s="11"/>
      <c r="L42" s="11">
        <f t="shared" si="8"/>
        <v>309426</v>
      </c>
      <c r="M42" s="11">
        <v>329019</v>
      </c>
      <c r="N42" s="11"/>
      <c r="O42" s="11">
        <f t="shared" si="9"/>
        <v>329019</v>
      </c>
      <c r="P42" s="11"/>
      <c r="Q42" s="11">
        <f t="shared" si="3"/>
        <v>272998</v>
      </c>
      <c r="R42" s="11">
        <v>272998</v>
      </c>
      <c r="S42" s="11">
        <f>10272-154</f>
        <v>10118</v>
      </c>
      <c r="T42" s="11">
        <f t="shared" si="4"/>
        <v>283116</v>
      </c>
      <c r="U42" s="11">
        <v>10118</v>
      </c>
      <c r="V42" s="26">
        <f t="shared" si="5"/>
        <v>0.03706254258272954</v>
      </c>
      <c r="W42" s="26">
        <f t="shared" si="6"/>
        <v>0.006503887355087952</v>
      </c>
    </row>
    <row r="43" spans="1:23" ht="18.75">
      <c r="A43" s="6" t="s">
        <v>70</v>
      </c>
      <c r="B43" s="7" t="s">
        <v>126</v>
      </c>
      <c r="C43" s="8">
        <v>1328320</v>
      </c>
      <c r="D43" s="8">
        <f>SUM(D44:D46)</f>
        <v>380100</v>
      </c>
      <c r="E43" s="8">
        <f t="shared" si="7"/>
        <v>1708420</v>
      </c>
      <c r="F43" s="8">
        <f>SUM(F44:F46)</f>
        <v>-24400</v>
      </c>
      <c r="G43" s="8">
        <f t="shared" si="7"/>
        <v>1684020</v>
      </c>
      <c r="H43" s="8">
        <f>SUM(H44:H46)</f>
        <v>614017</v>
      </c>
      <c r="I43" s="8">
        <f>SUM(I44:I46)</f>
        <v>-250</v>
      </c>
      <c r="J43" s="8">
        <v>1073363</v>
      </c>
      <c r="K43" s="8">
        <f>SUM(K44:K46)</f>
        <v>0</v>
      </c>
      <c r="L43" s="8">
        <f t="shared" si="8"/>
        <v>1073363</v>
      </c>
      <c r="M43" s="8">
        <v>613767</v>
      </c>
      <c r="N43" s="8">
        <f>SUM(N44:N46)</f>
        <v>0</v>
      </c>
      <c r="O43" s="8">
        <f t="shared" si="9"/>
        <v>613767</v>
      </c>
      <c r="P43" s="8">
        <f>SUM(P44:P46)</f>
        <v>0</v>
      </c>
      <c r="Q43" s="8">
        <f t="shared" si="3"/>
        <v>1684020</v>
      </c>
      <c r="R43" s="8">
        <v>1684020</v>
      </c>
      <c r="S43" s="8">
        <f>SUM(S44:S46)</f>
        <v>1890</v>
      </c>
      <c r="T43" s="8">
        <f t="shared" si="4"/>
        <v>1685910</v>
      </c>
      <c r="U43" s="8">
        <v>1890</v>
      </c>
      <c r="V43" s="27">
        <f t="shared" si="5"/>
        <v>0.0011223144618234939</v>
      </c>
      <c r="W43" s="27">
        <f t="shared" si="6"/>
        <v>0.0012148989030555672</v>
      </c>
    </row>
    <row r="44" spans="1:23" ht="18.75">
      <c r="A44" s="9" t="s">
        <v>71</v>
      </c>
      <c r="B44" s="10" t="s">
        <v>30</v>
      </c>
      <c r="C44" s="11">
        <v>1285755</v>
      </c>
      <c r="D44" s="11">
        <f>100+380000</f>
        <v>380100</v>
      </c>
      <c r="E44" s="11">
        <f t="shared" si="7"/>
        <v>1665855</v>
      </c>
      <c r="F44" s="11">
        <v>-20900</v>
      </c>
      <c r="G44" s="11">
        <f t="shared" si="7"/>
        <v>1644955</v>
      </c>
      <c r="H44" s="11">
        <v>556396</v>
      </c>
      <c r="I44" s="11">
        <v>250</v>
      </c>
      <c r="J44" s="11">
        <v>1020078</v>
      </c>
      <c r="K44" s="11"/>
      <c r="L44" s="11">
        <f t="shared" si="8"/>
        <v>1020078</v>
      </c>
      <c r="M44" s="11">
        <v>556646</v>
      </c>
      <c r="N44" s="11"/>
      <c r="O44" s="11">
        <f t="shared" si="9"/>
        <v>556646</v>
      </c>
      <c r="P44" s="11"/>
      <c r="Q44" s="11">
        <f t="shared" si="3"/>
        <v>1644955</v>
      </c>
      <c r="R44" s="11">
        <v>1644955</v>
      </c>
      <c r="S44" s="11">
        <f>980-1312+818+388</f>
        <v>874</v>
      </c>
      <c r="T44" s="11">
        <f t="shared" si="4"/>
        <v>1645829</v>
      </c>
      <c r="U44" s="11">
        <v>874</v>
      </c>
      <c r="V44" s="26">
        <f t="shared" si="5"/>
        <v>0.000531321525512856</v>
      </c>
      <c r="W44" s="26">
        <f t="shared" si="6"/>
        <v>0.0005618103922066485</v>
      </c>
    </row>
    <row r="45" spans="1:23" ht="18.75">
      <c r="A45" s="9" t="s">
        <v>72</v>
      </c>
      <c r="B45" s="10" t="s">
        <v>31</v>
      </c>
      <c r="C45" s="11">
        <v>2700</v>
      </c>
      <c r="D45" s="11"/>
      <c r="E45" s="11">
        <f t="shared" si="7"/>
        <v>2700</v>
      </c>
      <c r="F45" s="11"/>
      <c r="G45" s="11">
        <f t="shared" si="7"/>
        <v>2700</v>
      </c>
      <c r="H45" s="11">
        <v>3112</v>
      </c>
      <c r="I45" s="11"/>
      <c r="J45" s="11">
        <v>2903</v>
      </c>
      <c r="K45" s="11"/>
      <c r="L45" s="11">
        <f t="shared" si="8"/>
        <v>2903</v>
      </c>
      <c r="M45" s="11">
        <v>3112</v>
      </c>
      <c r="N45" s="11"/>
      <c r="O45" s="11">
        <f t="shared" si="9"/>
        <v>3112</v>
      </c>
      <c r="P45" s="11"/>
      <c r="Q45" s="11">
        <f t="shared" si="3"/>
        <v>2700</v>
      </c>
      <c r="R45" s="11">
        <v>2700</v>
      </c>
      <c r="S45" s="11">
        <v>-685</v>
      </c>
      <c r="T45" s="11">
        <f t="shared" si="4"/>
        <v>2015</v>
      </c>
      <c r="U45" s="11">
        <v>-685</v>
      </c>
      <c r="V45" s="26">
        <f t="shared" si="5"/>
        <v>-0.2537037037037037</v>
      </c>
      <c r="W45" s="26">
        <f t="shared" si="6"/>
        <v>-0.0004403205019010918</v>
      </c>
    </row>
    <row r="46" spans="1:23" ht="37.5">
      <c r="A46" s="9" t="s">
        <v>73</v>
      </c>
      <c r="B46" s="10" t="s">
        <v>127</v>
      </c>
      <c r="C46" s="11">
        <v>39865</v>
      </c>
      <c r="D46" s="11"/>
      <c r="E46" s="11">
        <f t="shared" si="7"/>
        <v>39865</v>
      </c>
      <c r="F46" s="11">
        <v>-3500</v>
      </c>
      <c r="G46" s="11">
        <f t="shared" si="7"/>
        <v>36365</v>
      </c>
      <c r="H46" s="11">
        <f>2459+52050</f>
        <v>54509</v>
      </c>
      <c r="I46" s="11">
        <v>-500</v>
      </c>
      <c r="J46" s="11">
        <v>50382</v>
      </c>
      <c r="K46" s="11"/>
      <c r="L46" s="11">
        <f t="shared" si="8"/>
        <v>50382</v>
      </c>
      <c r="M46" s="11">
        <v>54009</v>
      </c>
      <c r="N46" s="11"/>
      <c r="O46" s="11">
        <f t="shared" si="9"/>
        <v>54009</v>
      </c>
      <c r="P46" s="11"/>
      <c r="Q46" s="11">
        <f t="shared" si="3"/>
        <v>36365</v>
      </c>
      <c r="R46" s="11">
        <v>36365</v>
      </c>
      <c r="S46" s="11">
        <v>1701</v>
      </c>
      <c r="T46" s="11">
        <f t="shared" si="4"/>
        <v>38066</v>
      </c>
      <c r="U46" s="11">
        <v>1701</v>
      </c>
      <c r="V46" s="26">
        <f t="shared" si="5"/>
        <v>0.04677574590952839</v>
      </c>
      <c r="W46" s="26">
        <f t="shared" si="6"/>
        <v>0.0010934090127500105</v>
      </c>
    </row>
    <row r="47" spans="1:23" ht="18.75">
      <c r="A47" s="6" t="s">
        <v>74</v>
      </c>
      <c r="B47" s="7" t="s">
        <v>99</v>
      </c>
      <c r="C47" s="8">
        <v>2713142</v>
      </c>
      <c r="D47" s="8">
        <f>SUM(D48:D56)</f>
        <v>400137</v>
      </c>
      <c r="E47" s="8">
        <f t="shared" si="7"/>
        <v>3113279</v>
      </c>
      <c r="F47" s="8">
        <f>SUM(F48:F56)</f>
        <v>-48440</v>
      </c>
      <c r="G47" s="8">
        <f t="shared" si="7"/>
        <v>3064839</v>
      </c>
      <c r="H47" s="8">
        <f>SUM(H48:H56)</f>
        <v>3198504</v>
      </c>
      <c r="I47" s="8">
        <f>SUM(I48:I56)</f>
        <v>27658</v>
      </c>
      <c r="J47" s="8">
        <v>3348177</v>
      </c>
      <c r="K47" s="8">
        <f>SUM(K48:K56)</f>
        <v>0</v>
      </c>
      <c r="L47" s="8">
        <f t="shared" si="8"/>
        <v>3348177</v>
      </c>
      <c r="M47" s="8">
        <v>3226162</v>
      </c>
      <c r="N47" s="8">
        <f>SUM(N48:N56)</f>
        <v>0</v>
      </c>
      <c r="O47" s="8">
        <f t="shared" si="9"/>
        <v>3226162</v>
      </c>
      <c r="P47" s="8">
        <f>SUM(P48:P56)</f>
        <v>-2000</v>
      </c>
      <c r="Q47" s="8">
        <f t="shared" si="3"/>
        <v>3062839</v>
      </c>
      <c r="R47" s="8">
        <v>3062839</v>
      </c>
      <c r="S47" s="8">
        <f>SUM(S48:S56)</f>
        <v>-11815</v>
      </c>
      <c r="T47" s="8">
        <f t="shared" si="4"/>
        <v>3051024</v>
      </c>
      <c r="U47" s="8">
        <v>-11815</v>
      </c>
      <c r="V47" s="27">
        <f t="shared" si="5"/>
        <v>-0.0038575321784788557</v>
      </c>
      <c r="W47" s="27">
        <f t="shared" si="6"/>
        <v>-0.007594725153228321</v>
      </c>
    </row>
    <row r="48" spans="1:23" s="12" customFormat="1" ht="18.75">
      <c r="A48" s="9" t="s">
        <v>75</v>
      </c>
      <c r="B48" s="10" t="s">
        <v>100</v>
      </c>
      <c r="C48" s="11">
        <v>1845918</v>
      </c>
      <c r="D48" s="11">
        <f>-164539+119901-35000</f>
        <v>-79638</v>
      </c>
      <c r="E48" s="11">
        <f t="shared" si="7"/>
        <v>1766280</v>
      </c>
      <c r="F48" s="11">
        <f>-170545-30987</f>
        <v>-201532</v>
      </c>
      <c r="G48" s="11">
        <f t="shared" si="7"/>
        <v>1564748</v>
      </c>
      <c r="H48" s="11">
        <f>722000+1474245</f>
        <v>2196245</v>
      </c>
      <c r="I48" s="11">
        <v>24050</v>
      </c>
      <c r="J48" s="11">
        <v>2409064</v>
      </c>
      <c r="K48" s="11"/>
      <c r="L48" s="11">
        <f t="shared" si="8"/>
        <v>2409064</v>
      </c>
      <c r="M48" s="11">
        <v>2220295</v>
      </c>
      <c r="N48" s="11"/>
      <c r="O48" s="11">
        <f t="shared" si="9"/>
        <v>2220295</v>
      </c>
      <c r="P48" s="11">
        <v>-2000</v>
      </c>
      <c r="Q48" s="11">
        <f t="shared" si="3"/>
        <v>1562748</v>
      </c>
      <c r="R48" s="11">
        <v>1562748</v>
      </c>
      <c r="S48" s="11">
        <f>-6961-141</f>
        <v>-7102</v>
      </c>
      <c r="T48" s="11">
        <f t="shared" si="4"/>
        <v>1555646</v>
      </c>
      <c r="U48" s="11">
        <v>-7102</v>
      </c>
      <c r="V48" s="26">
        <f t="shared" si="5"/>
        <v>-0.004544558687645097</v>
      </c>
      <c r="W48" s="26">
        <f t="shared" si="6"/>
        <v>-0.004565191539418327</v>
      </c>
    </row>
    <row r="49" spans="1:23" ht="18.75">
      <c r="A49" s="9" t="s">
        <v>76</v>
      </c>
      <c r="B49" s="10" t="s">
        <v>101</v>
      </c>
      <c r="C49" s="11">
        <v>112468</v>
      </c>
      <c r="D49" s="11"/>
      <c r="E49" s="11">
        <f t="shared" si="7"/>
        <v>112468</v>
      </c>
      <c r="F49" s="11">
        <v>-536</v>
      </c>
      <c r="G49" s="11">
        <f t="shared" si="7"/>
        <v>111932</v>
      </c>
      <c r="H49" s="11">
        <v>130367</v>
      </c>
      <c r="I49" s="11"/>
      <c r="J49" s="11">
        <v>121611</v>
      </c>
      <c r="K49" s="11"/>
      <c r="L49" s="11">
        <f t="shared" si="8"/>
        <v>121611</v>
      </c>
      <c r="M49" s="11">
        <v>130367</v>
      </c>
      <c r="N49" s="11"/>
      <c r="O49" s="11">
        <f t="shared" si="9"/>
        <v>130367</v>
      </c>
      <c r="P49" s="11"/>
      <c r="Q49" s="11">
        <f t="shared" si="3"/>
        <v>111932</v>
      </c>
      <c r="R49" s="11">
        <v>111932</v>
      </c>
      <c r="S49" s="11">
        <f>-4151-494</f>
        <v>-4645</v>
      </c>
      <c r="T49" s="11">
        <f t="shared" si="4"/>
        <v>107287</v>
      </c>
      <c r="U49" s="11">
        <v>-4645</v>
      </c>
      <c r="V49" s="26">
        <f t="shared" si="5"/>
        <v>-0.04149840974877604</v>
      </c>
      <c r="W49" s="26">
        <f t="shared" si="6"/>
        <v>-0.0029858229654460898</v>
      </c>
    </row>
    <row r="50" spans="1:23" ht="18.75">
      <c r="A50" s="9" t="s">
        <v>102</v>
      </c>
      <c r="B50" s="10" t="s">
        <v>103</v>
      </c>
      <c r="C50" s="11">
        <v>34610</v>
      </c>
      <c r="D50" s="11"/>
      <c r="E50" s="11">
        <f t="shared" si="7"/>
        <v>34610</v>
      </c>
      <c r="F50" s="11">
        <v>-3150</v>
      </c>
      <c r="G50" s="11">
        <f t="shared" si="7"/>
        <v>31460</v>
      </c>
      <c r="H50" s="11">
        <v>44646</v>
      </c>
      <c r="I50" s="11"/>
      <c r="J50" s="11">
        <v>41648</v>
      </c>
      <c r="K50" s="11"/>
      <c r="L50" s="11">
        <f t="shared" si="8"/>
        <v>41648</v>
      </c>
      <c r="M50" s="11">
        <v>44646</v>
      </c>
      <c r="N50" s="11"/>
      <c r="O50" s="11">
        <f t="shared" si="9"/>
        <v>44646</v>
      </c>
      <c r="P50" s="11"/>
      <c r="Q50" s="11">
        <f t="shared" si="3"/>
        <v>31460</v>
      </c>
      <c r="R50" s="11">
        <v>31460</v>
      </c>
      <c r="S50" s="11">
        <f>-871+135</f>
        <v>-736</v>
      </c>
      <c r="T50" s="11">
        <f t="shared" si="4"/>
        <v>30724</v>
      </c>
      <c r="U50" s="11">
        <v>-736</v>
      </c>
      <c r="V50" s="26">
        <f t="shared" si="5"/>
        <v>-0.02339478703115067</v>
      </c>
      <c r="W50" s="26">
        <f t="shared" si="6"/>
        <v>-0.0004731034881740198</v>
      </c>
    </row>
    <row r="51" spans="1:23" ht="18.75">
      <c r="A51" s="9" t="s">
        <v>77</v>
      </c>
      <c r="B51" s="10" t="s">
        <v>104</v>
      </c>
      <c r="C51" s="11">
        <v>16575</v>
      </c>
      <c r="D51" s="11"/>
      <c r="E51" s="11">
        <f t="shared" si="7"/>
        <v>16575</v>
      </c>
      <c r="F51" s="11">
        <v>267</v>
      </c>
      <c r="G51" s="11">
        <f t="shared" si="7"/>
        <v>16842</v>
      </c>
      <c r="H51" s="11">
        <v>20473</v>
      </c>
      <c r="I51" s="11"/>
      <c r="J51" s="11">
        <v>19098</v>
      </c>
      <c r="K51" s="11"/>
      <c r="L51" s="11">
        <f t="shared" si="8"/>
        <v>19098</v>
      </c>
      <c r="M51" s="11">
        <v>20473</v>
      </c>
      <c r="N51" s="11"/>
      <c r="O51" s="11">
        <f t="shared" si="9"/>
        <v>20473</v>
      </c>
      <c r="P51" s="11"/>
      <c r="Q51" s="11">
        <f t="shared" si="3"/>
        <v>16842</v>
      </c>
      <c r="R51" s="11">
        <v>16842</v>
      </c>
      <c r="S51" s="11">
        <f>291+500</f>
        <v>791</v>
      </c>
      <c r="T51" s="11">
        <f t="shared" si="4"/>
        <v>17633</v>
      </c>
      <c r="U51" s="11">
        <v>791</v>
      </c>
      <c r="V51" s="26">
        <f t="shared" si="5"/>
        <v>0.04696591853699086</v>
      </c>
      <c r="W51" s="26">
        <f t="shared" si="6"/>
        <v>0.0005084576890565893</v>
      </c>
    </row>
    <row r="52" spans="1:23" s="12" customFormat="1" ht="18.75">
      <c r="A52" s="9" t="s">
        <v>105</v>
      </c>
      <c r="B52" s="10" t="s">
        <v>106</v>
      </c>
      <c r="C52" s="11">
        <v>49735</v>
      </c>
      <c r="D52" s="11">
        <v>-1487</v>
      </c>
      <c r="E52" s="11">
        <f t="shared" si="7"/>
        <v>48248</v>
      </c>
      <c r="F52" s="11">
        <v>-3856</v>
      </c>
      <c r="G52" s="11">
        <f t="shared" si="7"/>
        <v>44392</v>
      </c>
      <c r="H52" s="11">
        <v>58693</v>
      </c>
      <c r="I52" s="11"/>
      <c r="J52" s="11">
        <v>54751</v>
      </c>
      <c r="K52" s="11"/>
      <c r="L52" s="11">
        <f t="shared" si="8"/>
        <v>54751</v>
      </c>
      <c r="M52" s="11">
        <v>58693</v>
      </c>
      <c r="N52" s="11"/>
      <c r="O52" s="11">
        <f t="shared" si="9"/>
        <v>58693</v>
      </c>
      <c r="P52" s="11"/>
      <c r="Q52" s="11">
        <f t="shared" si="3"/>
        <v>44392</v>
      </c>
      <c r="R52" s="11">
        <v>44392</v>
      </c>
      <c r="S52" s="11">
        <v>-863</v>
      </c>
      <c r="T52" s="11">
        <f t="shared" si="4"/>
        <v>43529</v>
      </c>
      <c r="U52" s="11">
        <v>-863</v>
      </c>
      <c r="V52" s="26">
        <f t="shared" si="5"/>
        <v>-0.019440439718868264</v>
      </c>
      <c r="W52" s="26">
        <f t="shared" si="6"/>
        <v>-0.0005547395520301347</v>
      </c>
    </row>
    <row r="53" spans="1:23" ht="37.5">
      <c r="A53" s="9" t="s">
        <v>107</v>
      </c>
      <c r="B53" s="10" t="s">
        <v>131</v>
      </c>
      <c r="C53" s="11">
        <v>73043</v>
      </c>
      <c r="D53" s="11"/>
      <c r="E53" s="11">
        <f t="shared" si="7"/>
        <v>73043</v>
      </c>
      <c r="F53" s="11">
        <v>781</v>
      </c>
      <c r="G53" s="11">
        <f t="shared" si="7"/>
        <v>73824</v>
      </c>
      <c r="H53" s="11">
        <v>88286</v>
      </c>
      <c r="I53" s="11"/>
      <c r="J53" s="11">
        <v>82356</v>
      </c>
      <c r="K53" s="11"/>
      <c r="L53" s="11">
        <f t="shared" si="8"/>
        <v>82356</v>
      </c>
      <c r="M53" s="11">
        <v>88286</v>
      </c>
      <c r="N53" s="11"/>
      <c r="O53" s="11">
        <f t="shared" si="9"/>
        <v>88286</v>
      </c>
      <c r="P53" s="11"/>
      <c r="Q53" s="11">
        <f t="shared" si="3"/>
        <v>73824</v>
      </c>
      <c r="R53" s="11">
        <v>73824</v>
      </c>
      <c r="S53" s="11">
        <v>680</v>
      </c>
      <c r="T53" s="11">
        <f t="shared" si="4"/>
        <v>74504</v>
      </c>
      <c r="U53" s="11">
        <v>680</v>
      </c>
      <c r="V53" s="26">
        <f t="shared" si="5"/>
        <v>0.009211096662332033</v>
      </c>
      <c r="W53" s="26">
        <f t="shared" si="6"/>
        <v>0.00043710648363904004</v>
      </c>
    </row>
    <row r="54" spans="1:23" ht="18.75" customHeight="1" hidden="1">
      <c r="A54" s="9" t="s">
        <v>108</v>
      </c>
      <c r="B54" s="10" t="s">
        <v>109</v>
      </c>
      <c r="C54" s="11">
        <v>18000</v>
      </c>
      <c r="D54" s="11"/>
      <c r="E54" s="11">
        <f t="shared" si="7"/>
        <v>18000</v>
      </c>
      <c r="F54" s="11"/>
      <c r="G54" s="11">
        <f t="shared" si="7"/>
        <v>18000</v>
      </c>
      <c r="H54" s="11">
        <v>20743</v>
      </c>
      <c r="I54" s="11"/>
      <c r="J54" s="11">
        <v>19350</v>
      </c>
      <c r="K54" s="11"/>
      <c r="L54" s="11">
        <f t="shared" si="8"/>
        <v>19350</v>
      </c>
      <c r="M54" s="11">
        <v>20743</v>
      </c>
      <c r="N54" s="11"/>
      <c r="O54" s="11">
        <f t="shared" si="9"/>
        <v>20743</v>
      </c>
      <c r="P54" s="11"/>
      <c r="Q54" s="11">
        <f t="shared" si="3"/>
        <v>18000</v>
      </c>
      <c r="R54" s="11">
        <v>18000</v>
      </c>
      <c r="S54" s="11"/>
      <c r="T54" s="11">
        <f t="shared" si="4"/>
        <v>18000</v>
      </c>
      <c r="U54" s="11"/>
      <c r="V54" s="26">
        <f t="shared" si="5"/>
        <v>0</v>
      </c>
      <c r="W54" s="26">
        <f t="shared" si="6"/>
        <v>0</v>
      </c>
    </row>
    <row r="55" spans="1:23" ht="18.75">
      <c r="A55" s="9" t="s">
        <v>110</v>
      </c>
      <c r="B55" s="10" t="s">
        <v>111</v>
      </c>
      <c r="C55" s="11">
        <v>227149</v>
      </c>
      <c r="D55" s="11"/>
      <c r="E55" s="11">
        <f t="shared" si="7"/>
        <v>227149</v>
      </c>
      <c r="F55" s="11">
        <f>-5000-8775</f>
        <v>-13775</v>
      </c>
      <c r="G55" s="11">
        <f t="shared" si="7"/>
        <v>213374</v>
      </c>
      <c r="H55" s="11">
        <f>209633+26600</f>
        <v>236233</v>
      </c>
      <c r="I55" s="11"/>
      <c r="J55" s="11">
        <v>221147</v>
      </c>
      <c r="K55" s="11"/>
      <c r="L55" s="11">
        <f t="shared" si="8"/>
        <v>221147</v>
      </c>
      <c r="M55" s="11">
        <v>236233</v>
      </c>
      <c r="N55" s="11"/>
      <c r="O55" s="11">
        <f t="shared" si="9"/>
        <v>236233</v>
      </c>
      <c r="P55" s="11"/>
      <c r="Q55" s="11">
        <f t="shared" si="3"/>
        <v>213374</v>
      </c>
      <c r="R55" s="11">
        <v>213374</v>
      </c>
      <c r="S55" s="11">
        <f>16900-33649+15254</f>
        <v>-1495</v>
      </c>
      <c r="T55" s="11">
        <f t="shared" si="4"/>
        <v>211879</v>
      </c>
      <c r="U55" s="11">
        <v>-1495</v>
      </c>
      <c r="V55" s="26">
        <f t="shared" si="5"/>
        <v>-0.007006476890342778</v>
      </c>
      <c r="W55" s="26">
        <f t="shared" si="6"/>
        <v>-0.0009609914603534777</v>
      </c>
    </row>
    <row r="56" spans="1:23" ht="37.5">
      <c r="A56" s="9" t="s">
        <v>113</v>
      </c>
      <c r="B56" s="10" t="s">
        <v>112</v>
      </c>
      <c r="C56" s="11">
        <v>335644</v>
      </c>
      <c r="D56" s="11">
        <f>227525+252860+877</f>
        <v>481262</v>
      </c>
      <c r="E56" s="11">
        <f t="shared" si="7"/>
        <v>816906</v>
      </c>
      <c r="F56" s="11">
        <f>175180-1819</f>
        <v>173361</v>
      </c>
      <c r="G56" s="11">
        <f t="shared" si="7"/>
        <v>990267</v>
      </c>
      <c r="H56" s="11">
        <f>340645+62173</f>
        <v>402818</v>
      </c>
      <c r="I56" s="11">
        <v>3608</v>
      </c>
      <c r="J56" s="11">
        <v>379152</v>
      </c>
      <c r="K56" s="11"/>
      <c r="L56" s="11">
        <f t="shared" si="8"/>
        <v>379152</v>
      </c>
      <c r="M56" s="11">
        <v>406426</v>
      </c>
      <c r="N56" s="11"/>
      <c r="O56" s="11">
        <f t="shared" si="9"/>
        <v>406426</v>
      </c>
      <c r="P56" s="11"/>
      <c r="Q56" s="11">
        <f t="shared" si="3"/>
        <v>990267</v>
      </c>
      <c r="R56" s="11">
        <v>990267</v>
      </c>
      <c r="S56" s="11">
        <f>3290-1735</f>
        <v>1555</v>
      </c>
      <c r="T56" s="11">
        <f t="shared" si="4"/>
        <v>991822</v>
      </c>
      <c r="U56" s="11">
        <v>1555</v>
      </c>
      <c r="V56" s="26">
        <f t="shared" si="5"/>
        <v>0.0015702835699866803</v>
      </c>
      <c r="W56" s="26">
        <f t="shared" si="6"/>
        <v>0.000999559679498099</v>
      </c>
    </row>
    <row r="57" spans="1:23" ht="18.75">
      <c r="A57" s="6" t="s">
        <v>78</v>
      </c>
      <c r="B57" s="7" t="s">
        <v>32</v>
      </c>
      <c r="C57" s="8">
        <v>1961577</v>
      </c>
      <c r="D57" s="8">
        <f>SUM(D58:D62)</f>
        <v>-11044</v>
      </c>
      <c r="E57" s="8">
        <f t="shared" si="7"/>
        <v>1950533</v>
      </c>
      <c r="F57" s="8">
        <f>SUM(F58:F62)</f>
        <v>-56879</v>
      </c>
      <c r="G57" s="8">
        <f t="shared" si="7"/>
        <v>1893654</v>
      </c>
      <c r="H57" s="8">
        <f>SUM(H58:H62)</f>
        <v>2243994</v>
      </c>
      <c r="I57" s="8">
        <f>SUM(I58:I62)</f>
        <v>147170</v>
      </c>
      <c r="J57" s="8">
        <v>2145414</v>
      </c>
      <c r="K57" s="8">
        <f>SUM(K58:K62)</f>
        <v>0</v>
      </c>
      <c r="L57" s="8">
        <f t="shared" si="8"/>
        <v>2145414</v>
      </c>
      <c r="M57" s="8">
        <v>2391164</v>
      </c>
      <c r="N57" s="8">
        <f>SUM(N58:N62)</f>
        <v>0</v>
      </c>
      <c r="O57" s="8">
        <f t="shared" si="9"/>
        <v>2391164</v>
      </c>
      <c r="P57" s="8">
        <f>SUM(P58:P62)</f>
        <v>300184</v>
      </c>
      <c r="Q57" s="8">
        <f t="shared" si="3"/>
        <v>2193838</v>
      </c>
      <c r="R57" s="8">
        <v>2193838</v>
      </c>
      <c r="S57" s="8">
        <f>SUM(S58:S62)</f>
        <v>25820</v>
      </c>
      <c r="T57" s="8">
        <f t="shared" si="4"/>
        <v>2219658</v>
      </c>
      <c r="U57" s="8">
        <v>25820</v>
      </c>
      <c r="V57" s="27">
        <f t="shared" si="5"/>
        <v>0.01176932845542834</v>
      </c>
      <c r="W57" s="27">
        <f t="shared" si="6"/>
        <v>0.016597190305235314</v>
      </c>
    </row>
    <row r="58" spans="1:23" ht="18.75">
      <c r="A58" s="9">
        <v>1001</v>
      </c>
      <c r="B58" s="10" t="s">
        <v>33</v>
      </c>
      <c r="C58" s="11">
        <v>45194</v>
      </c>
      <c r="D58" s="11">
        <v>-4687</v>
      </c>
      <c r="E58" s="11">
        <f t="shared" si="7"/>
        <v>40507</v>
      </c>
      <c r="F58" s="11">
        <v>587</v>
      </c>
      <c r="G58" s="11">
        <f t="shared" si="7"/>
        <v>41094</v>
      </c>
      <c r="H58" s="11">
        <v>54677</v>
      </c>
      <c r="I58" s="11"/>
      <c r="J58" s="11">
        <v>51004</v>
      </c>
      <c r="K58" s="11"/>
      <c r="L58" s="11">
        <f t="shared" si="8"/>
        <v>51004</v>
      </c>
      <c r="M58" s="11">
        <v>54677</v>
      </c>
      <c r="N58" s="11"/>
      <c r="O58" s="11">
        <f t="shared" si="9"/>
        <v>54677</v>
      </c>
      <c r="P58" s="11"/>
      <c r="Q58" s="11">
        <f t="shared" si="3"/>
        <v>41094</v>
      </c>
      <c r="R58" s="11">
        <v>41094</v>
      </c>
      <c r="S58" s="11"/>
      <c r="T58" s="11">
        <f t="shared" si="4"/>
        <v>41094</v>
      </c>
      <c r="U58" s="11"/>
      <c r="V58" s="26">
        <f t="shared" si="5"/>
        <v>0</v>
      </c>
      <c r="W58" s="26">
        <f t="shared" si="6"/>
        <v>0</v>
      </c>
    </row>
    <row r="59" spans="1:23" ht="18.75">
      <c r="A59" s="9">
        <v>1002</v>
      </c>
      <c r="B59" s="10" t="s">
        <v>34</v>
      </c>
      <c r="C59" s="11">
        <v>865786</v>
      </c>
      <c r="D59" s="11">
        <v>-58811</v>
      </c>
      <c r="E59" s="11">
        <f t="shared" si="7"/>
        <v>806975</v>
      </c>
      <c r="F59" s="11">
        <v>-17482</v>
      </c>
      <c r="G59" s="11">
        <f t="shared" si="7"/>
        <v>789493</v>
      </c>
      <c r="H59" s="11">
        <v>974348</v>
      </c>
      <c r="I59" s="11"/>
      <c r="J59" s="11">
        <v>908906</v>
      </c>
      <c r="K59" s="11"/>
      <c r="L59" s="11">
        <f t="shared" si="8"/>
        <v>908906</v>
      </c>
      <c r="M59" s="11">
        <v>974348</v>
      </c>
      <c r="N59" s="11"/>
      <c r="O59" s="11">
        <f t="shared" si="9"/>
        <v>974348</v>
      </c>
      <c r="P59" s="11"/>
      <c r="Q59" s="11">
        <f t="shared" si="3"/>
        <v>789493</v>
      </c>
      <c r="R59" s="11">
        <v>789493</v>
      </c>
      <c r="S59" s="11">
        <f>1016-17140</f>
        <v>-16124</v>
      </c>
      <c r="T59" s="11">
        <f t="shared" si="4"/>
        <v>773369</v>
      </c>
      <c r="U59" s="11">
        <v>-16124</v>
      </c>
      <c r="V59" s="26">
        <f t="shared" si="5"/>
        <v>-0.02042323364488349</v>
      </c>
      <c r="W59" s="26">
        <f t="shared" si="6"/>
        <v>-0.010364566091464533</v>
      </c>
    </row>
    <row r="60" spans="1:23" ht="18.75">
      <c r="A60" s="9">
        <v>1003</v>
      </c>
      <c r="B60" s="10" t="s">
        <v>35</v>
      </c>
      <c r="C60" s="11">
        <v>958944</v>
      </c>
      <c r="D60" s="11">
        <f>146222+7484-101677</f>
        <v>52029</v>
      </c>
      <c r="E60" s="11">
        <f t="shared" si="7"/>
        <v>1010973</v>
      </c>
      <c r="F60" s="11">
        <f>10000-27075-21558</f>
        <v>-38633</v>
      </c>
      <c r="G60" s="11">
        <f t="shared" si="7"/>
        <v>972340</v>
      </c>
      <c r="H60" s="11">
        <f>339727+1000+533753+222278</f>
        <v>1096758</v>
      </c>
      <c r="I60" s="11">
        <f>34570+112600</f>
        <v>147170</v>
      </c>
      <c r="J60" s="11">
        <v>1075240</v>
      </c>
      <c r="K60" s="11"/>
      <c r="L60" s="11">
        <f t="shared" si="8"/>
        <v>1075240</v>
      </c>
      <c r="M60" s="11">
        <v>1243928</v>
      </c>
      <c r="N60" s="11"/>
      <c r="O60" s="11">
        <f t="shared" si="9"/>
        <v>1243928</v>
      </c>
      <c r="P60" s="11">
        <v>300184</v>
      </c>
      <c r="Q60" s="11">
        <f t="shared" si="3"/>
        <v>1272524</v>
      </c>
      <c r="R60" s="11">
        <v>1272524</v>
      </c>
      <c r="S60" s="11">
        <f>16182+28211</f>
        <v>44393</v>
      </c>
      <c r="T60" s="11">
        <f t="shared" si="4"/>
        <v>1316917</v>
      </c>
      <c r="U60" s="11">
        <v>44393</v>
      </c>
      <c r="V60" s="26">
        <f t="shared" si="5"/>
        <v>0.0348857860441139</v>
      </c>
      <c r="W60" s="26">
        <f t="shared" si="6"/>
        <v>0.0285359825414528</v>
      </c>
    </row>
    <row r="61" spans="1:23" ht="18.75">
      <c r="A61" s="9">
        <v>1004</v>
      </c>
      <c r="B61" s="10" t="s">
        <v>128</v>
      </c>
      <c r="C61" s="11">
        <v>41535</v>
      </c>
      <c r="D61" s="11">
        <v>425</v>
      </c>
      <c r="E61" s="11">
        <f t="shared" si="7"/>
        <v>41960</v>
      </c>
      <c r="F61" s="11">
        <f>-218-546</f>
        <v>-764</v>
      </c>
      <c r="G61" s="11">
        <f t="shared" si="7"/>
        <v>41196</v>
      </c>
      <c r="H61" s="11">
        <v>49246</v>
      </c>
      <c r="I61" s="11"/>
      <c r="J61" s="11">
        <v>45931</v>
      </c>
      <c r="K61" s="11"/>
      <c r="L61" s="11">
        <f t="shared" si="8"/>
        <v>45931</v>
      </c>
      <c r="M61" s="11">
        <v>49246</v>
      </c>
      <c r="N61" s="11"/>
      <c r="O61" s="11">
        <f t="shared" si="9"/>
        <v>49246</v>
      </c>
      <c r="P61" s="11"/>
      <c r="Q61" s="11">
        <f t="shared" si="3"/>
        <v>41196</v>
      </c>
      <c r="R61" s="11">
        <v>41196</v>
      </c>
      <c r="S61" s="11">
        <v>-4160</v>
      </c>
      <c r="T61" s="11">
        <f t="shared" si="4"/>
        <v>37036</v>
      </c>
      <c r="U61" s="11">
        <v>-4160</v>
      </c>
      <c r="V61" s="26">
        <f t="shared" si="5"/>
        <v>-0.10098067773570249</v>
      </c>
      <c r="W61" s="26">
        <f t="shared" si="6"/>
        <v>-0.0026740631940270687</v>
      </c>
    </row>
    <row r="62" spans="1:23" s="12" customFormat="1" ht="18.75">
      <c r="A62" s="9">
        <v>1006</v>
      </c>
      <c r="B62" s="10" t="s">
        <v>36</v>
      </c>
      <c r="C62" s="11">
        <v>50118</v>
      </c>
      <c r="D62" s="11"/>
      <c r="E62" s="11">
        <f t="shared" si="7"/>
        <v>50118</v>
      </c>
      <c r="F62" s="11">
        <v>-587</v>
      </c>
      <c r="G62" s="11">
        <f t="shared" si="7"/>
        <v>49531</v>
      </c>
      <c r="H62" s="11">
        <v>68965</v>
      </c>
      <c r="I62" s="11"/>
      <c r="J62" s="11">
        <v>64333</v>
      </c>
      <c r="K62" s="11"/>
      <c r="L62" s="11">
        <f t="shared" si="8"/>
        <v>64333</v>
      </c>
      <c r="M62" s="11">
        <v>68965</v>
      </c>
      <c r="N62" s="11"/>
      <c r="O62" s="11">
        <f t="shared" si="9"/>
        <v>68965</v>
      </c>
      <c r="P62" s="11"/>
      <c r="Q62" s="11">
        <f t="shared" si="3"/>
        <v>49531</v>
      </c>
      <c r="R62" s="11">
        <v>49531</v>
      </c>
      <c r="S62" s="11">
        <v>1711</v>
      </c>
      <c r="T62" s="11">
        <f t="shared" si="4"/>
        <v>51242</v>
      </c>
      <c r="U62" s="11">
        <v>1711</v>
      </c>
      <c r="V62" s="26">
        <f t="shared" si="5"/>
        <v>0.034544022935131535</v>
      </c>
      <c r="W62" s="26">
        <f t="shared" si="6"/>
        <v>0.001099837049274114</v>
      </c>
    </row>
    <row r="63" spans="1:23" ht="18.75">
      <c r="A63" s="6">
        <v>1100</v>
      </c>
      <c r="B63" s="7" t="s">
        <v>37</v>
      </c>
      <c r="C63" s="8">
        <v>18852238</v>
      </c>
      <c r="D63" s="8">
        <f>SUM(D64:D68)</f>
        <v>2599133</v>
      </c>
      <c r="E63" s="8">
        <f t="shared" si="7"/>
        <v>21451371</v>
      </c>
      <c r="F63" s="8">
        <f>SUM(F64:F68)</f>
        <v>-921106</v>
      </c>
      <c r="G63" s="8">
        <f t="shared" si="7"/>
        <v>20530265</v>
      </c>
      <c r="H63" s="8">
        <f>SUM(H64:H68)</f>
        <v>19804802</v>
      </c>
      <c r="I63" s="8">
        <f>SUM(I64:I68)</f>
        <v>-1826648</v>
      </c>
      <c r="J63" s="8">
        <v>18972639</v>
      </c>
      <c r="K63" s="8">
        <f>SUM(K64:K68)</f>
        <v>0</v>
      </c>
      <c r="L63" s="8">
        <f t="shared" si="8"/>
        <v>18972639</v>
      </c>
      <c r="M63" s="8">
        <v>17978154</v>
      </c>
      <c r="N63" s="8">
        <f>SUM(N64:N68)</f>
        <v>0</v>
      </c>
      <c r="O63" s="8">
        <f t="shared" si="9"/>
        <v>17978154</v>
      </c>
      <c r="P63" s="8">
        <f>SUM(P64:P68)</f>
        <v>68035</v>
      </c>
      <c r="Q63" s="8">
        <f>SUM(Q64:Q68)</f>
        <v>20598300</v>
      </c>
      <c r="R63" s="8">
        <v>20598300</v>
      </c>
      <c r="S63" s="8">
        <f>SUM(S64:S68)</f>
        <v>793521</v>
      </c>
      <c r="T63" s="8">
        <f t="shared" si="4"/>
        <v>21391821</v>
      </c>
      <c r="U63" s="8">
        <v>793521</v>
      </c>
      <c r="V63" s="27">
        <f t="shared" si="5"/>
        <v>0.0385236160265653</v>
      </c>
      <c r="W63" s="27">
        <f t="shared" si="6"/>
        <v>0.5100781970643157</v>
      </c>
    </row>
    <row r="64" spans="1:23" ht="37.5" hidden="1">
      <c r="A64" s="9">
        <v>1101</v>
      </c>
      <c r="B64" s="10" t="s">
        <v>121</v>
      </c>
      <c r="C64" s="11">
        <v>2540778</v>
      </c>
      <c r="D64" s="11">
        <v>17215</v>
      </c>
      <c r="E64" s="11">
        <f t="shared" si="7"/>
        <v>2557993</v>
      </c>
      <c r="F64" s="11"/>
      <c r="G64" s="11">
        <f t="shared" si="7"/>
        <v>2557993</v>
      </c>
      <c r="H64" s="11">
        <v>4514001</v>
      </c>
      <c r="I64" s="11">
        <v>-1650770</v>
      </c>
      <c r="J64" s="11">
        <v>2654793</v>
      </c>
      <c r="K64" s="11"/>
      <c r="L64" s="11">
        <f t="shared" si="8"/>
        <v>2654793</v>
      </c>
      <c r="M64" s="11">
        <v>2863231</v>
      </c>
      <c r="N64" s="11"/>
      <c r="O64" s="11">
        <f t="shared" si="9"/>
        <v>2863231</v>
      </c>
      <c r="P64" s="11">
        <v>68035</v>
      </c>
      <c r="Q64" s="11">
        <f t="shared" si="3"/>
        <v>2626028</v>
      </c>
      <c r="R64" s="11">
        <v>2626028</v>
      </c>
      <c r="S64" s="11"/>
      <c r="T64" s="11">
        <f t="shared" si="4"/>
        <v>2626028</v>
      </c>
      <c r="U64" s="11"/>
      <c r="V64" s="26">
        <f t="shared" si="5"/>
        <v>0</v>
      </c>
      <c r="W64" s="26">
        <f t="shared" si="6"/>
        <v>0</v>
      </c>
    </row>
    <row r="65" spans="1:23" ht="37.5">
      <c r="A65" s="9" t="s">
        <v>114</v>
      </c>
      <c r="B65" s="10" t="s">
        <v>122</v>
      </c>
      <c r="C65" s="11">
        <v>5180742</v>
      </c>
      <c r="D65" s="11">
        <f>13480+87794+266+609961+976750+10575+35000</f>
        <v>1733826</v>
      </c>
      <c r="E65" s="11">
        <f t="shared" si="7"/>
        <v>6914568</v>
      </c>
      <c r="F65" s="11">
        <f>-9000-123167-11480+720-84639-584642</f>
        <v>-812208</v>
      </c>
      <c r="G65" s="11">
        <f t="shared" si="7"/>
        <v>6102360</v>
      </c>
      <c r="H65" s="11">
        <f>1741870+259760+5000+199665+16000</f>
        <v>2222295</v>
      </c>
      <c r="I65" s="11">
        <f>-1050-112600-34570-27658</f>
        <v>-175878</v>
      </c>
      <c r="J65" s="11">
        <v>4194881</v>
      </c>
      <c r="K65" s="11"/>
      <c r="L65" s="11">
        <f t="shared" si="8"/>
        <v>4194881</v>
      </c>
      <c r="M65" s="11">
        <v>2046417</v>
      </c>
      <c r="N65" s="11"/>
      <c r="O65" s="11">
        <f t="shared" si="9"/>
        <v>2046417</v>
      </c>
      <c r="P65" s="11"/>
      <c r="Q65" s="11">
        <f t="shared" si="3"/>
        <v>6102360</v>
      </c>
      <c r="R65" s="11">
        <v>6102360</v>
      </c>
      <c r="S65" s="11">
        <f>504700+34202+24330+85501-50118+12360+7746+12383</f>
        <v>631104</v>
      </c>
      <c r="T65" s="11">
        <f t="shared" si="4"/>
        <v>6733464</v>
      </c>
      <c r="U65" s="11">
        <v>631104</v>
      </c>
      <c r="V65" s="26">
        <f t="shared" si="5"/>
        <v>0.10341966059032899</v>
      </c>
      <c r="W65" s="26">
        <f t="shared" si="6"/>
        <v>0.4056759562507834</v>
      </c>
    </row>
    <row r="66" spans="1:23" ht="37.5">
      <c r="A66" s="9" t="s">
        <v>115</v>
      </c>
      <c r="B66" s="10" t="s">
        <v>123</v>
      </c>
      <c r="C66" s="11">
        <v>8360071</v>
      </c>
      <c r="D66" s="11">
        <f>274352+101+313313+66285</f>
        <v>654051</v>
      </c>
      <c r="E66" s="11">
        <f t="shared" si="7"/>
        <v>9014122</v>
      </c>
      <c r="F66" s="11">
        <f>148859+546-271729+1819</f>
        <v>-120505</v>
      </c>
      <c r="G66" s="11">
        <f t="shared" si="7"/>
        <v>8893617</v>
      </c>
      <c r="H66" s="11">
        <f>2817615+11354+6899945+338114</f>
        <v>10067028</v>
      </c>
      <c r="I66" s="11"/>
      <c r="J66" s="11">
        <v>9224989</v>
      </c>
      <c r="K66" s="11"/>
      <c r="L66" s="11">
        <f t="shared" si="8"/>
        <v>9224989</v>
      </c>
      <c r="M66" s="11">
        <v>10067028</v>
      </c>
      <c r="N66" s="11"/>
      <c r="O66" s="11">
        <f t="shared" si="9"/>
        <v>10067028</v>
      </c>
      <c r="P66" s="11"/>
      <c r="Q66" s="11">
        <f t="shared" si="3"/>
        <v>8893617</v>
      </c>
      <c r="R66" s="11">
        <v>8893617</v>
      </c>
      <c r="S66" s="11">
        <f>-10000-50000-2058+2+229850-5907+308</f>
        <v>162195</v>
      </c>
      <c r="T66" s="11">
        <f t="shared" si="4"/>
        <v>9055812</v>
      </c>
      <c r="U66" s="11">
        <v>162195</v>
      </c>
      <c r="V66" s="26">
        <f t="shared" si="5"/>
        <v>0.018237236885735017</v>
      </c>
      <c r="W66" s="26">
        <f t="shared" si="6"/>
        <v>0.10425953840269721</v>
      </c>
    </row>
    <row r="67" spans="1:23" ht="18.75">
      <c r="A67" s="9" t="s">
        <v>116</v>
      </c>
      <c r="B67" s="10" t="s">
        <v>117</v>
      </c>
      <c r="C67" s="11">
        <v>768262</v>
      </c>
      <c r="D67" s="11">
        <v>-17215</v>
      </c>
      <c r="E67" s="11">
        <f t="shared" si="7"/>
        <v>751047</v>
      </c>
      <c r="F67" s="11">
        <v>10000</v>
      </c>
      <c r="G67" s="11">
        <f t="shared" si="7"/>
        <v>761047</v>
      </c>
      <c r="H67" s="11">
        <f>407620+50341+5670</f>
        <v>463631</v>
      </c>
      <c r="I67" s="11"/>
      <c r="J67" s="11">
        <v>529775</v>
      </c>
      <c r="K67" s="11"/>
      <c r="L67" s="11">
        <f t="shared" si="8"/>
        <v>529775</v>
      </c>
      <c r="M67" s="11">
        <v>463631</v>
      </c>
      <c r="N67" s="11"/>
      <c r="O67" s="11">
        <f t="shared" si="9"/>
        <v>463631</v>
      </c>
      <c r="P67" s="11"/>
      <c r="Q67" s="11">
        <f t="shared" si="3"/>
        <v>761047</v>
      </c>
      <c r="R67" s="11">
        <v>761047</v>
      </c>
      <c r="S67" s="11">
        <f>5200+400</f>
        <v>5600</v>
      </c>
      <c r="T67" s="11">
        <f t="shared" si="4"/>
        <v>766647</v>
      </c>
      <c r="U67" s="11">
        <v>5600</v>
      </c>
      <c r="V67" s="26">
        <f t="shared" si="5"/>
        <v>0.007358284048159969</v>
      </c>
      <c r="W67" s="26">
        <f t="shared" si="6"/>
        <v>0.003599700453497977</v>
      </c>
    </row>
    <row r="68" spans="1:23" s="12" customFormat="1" ht="37.5">
      <c r="A68" s="9" t="s">
        <v>118</v>
      </c>
      <c r="B68" s="10" t="s">
        <v>119</v>
      </c>
      <c r="C68" s="11">
        <v>2002385</v>
      </c>
      <c r="D68" s="11">
        <f>199949+11307</f>
        <v>211256</v>
      </c>
      <c r="E68" s="11">
        <f t="shared" si="7"/>
        <v>2213641</v>
      </c>
      <c r="F68" s="11">
        <v>1607</v>
      </c>
      <c r="G68" s="11">
        <f t="shared" si="7"/>
        <v>2215248</v>
      </c>
      <c r="H68" s="11">
        <f>2520469+17378</f>
        <v>2537847</v>
      </c>
      <c r="I68" s="11"/>
      <c r="J68" s="11">
        <v>2368201</v>
      </c>
      <c r="K68" s="11"/>
      <c r="L68" s="11">
        <f t="shared" si="8"/>
        <v>2368201</v>
      </c>
      <c r="M68" s="11">
        <v>2537847</v>
      </c>
      <c r="N68" s="11"/>
      <c r="O68" s="11">
        <f t="shared" si="9"/>
        <v>2537847</v>
      </c>
      <c r="P68" s="11"/>
      <c r="Q68" s="11">
        <f t="shared" si="3"/>
        <v>2215248</v>
      </c>
      <c r="R68" s="11">
        <v>2215248</v>
      </c>
      <c r="S68" s="11">
        <f>3147-8525</f>
        <v>-5378</v>
      </c>
      <c r="T68" s="11">
        <f t="shared" si="4"/>
        <v>2209870</v>
      </c>
      <c r="U68" s="11">
        <v>-5378</v>
      </c>
      <c r="V68" s="26">
        <f t="shared" si="5"/>
        <v>-0.0024277191537922615</v>
      </c>
      <c r="W68" s="26">
        <f t="shared" si="6"/>
        <v>-0.0034569980426628786</v>
      </c>
    </row>
    <row r="69" spans="1:23" ht="18.75">
      <c r="A69" s="23" t="s">
        <v>124</v>
      </c>
      <c r="B69" s="23"/>
      <c r="C69" s="8">
        <v>38314902</v>
      </c>
      <c r="D69" s="8">
        <f>D4+D14+D16+D20+D30+D34+D36+D43+D47+D57+D63</f>
        <v>3728541</v>
      </c>
      <c r="E69" s="8">
        <f t="shared" si="7"/>
        <v>42043443</v>
      </c>
      <c r="F69" s="8">
        <f>F4+F14+F16+F20+F30+F34+F36+F43+F47+F57+F63</f>
        <v>-1937384</v>
      </c>
      <c r="G69" s="8">
        <f t="shared" si="7"/>
        <v>40106059</v>
      </c>
      <c r="H69" s="8">
        <f>H4+H14+H16+H20+H30+H34+H36+H43+H47+H57+H63</f>
        <v>37878672</v>
      </c>
      <c r="I69" s="8">
        <f>I4+I14+I16+I20+I30+I34+I36+I43+I47+I57+I63</f>
        <v>-1650770</v>
      </c>
      <c r="J69" s="8">
        <v>38760623</v>
      </c>
      <c r="K69" s="8">
        <f>K4+K14+K16+K20+K30+K34+K36+K43+K47+K57+K63</f>
        <v>0</v>
      </c>
      <c r="L69" s="8">
        <f t="shared" si="8"/>
        <v>38760623</v>
      </c>
      <c r="M69" s="8">
        <v>36227902</v>
      </c>
      <c r="N69" s="8">
        <f>N4+N14+N16+N20+N30+N34+N36+N43+N47+N57+N63</f>
        <v>0</v>
      </c>
      <c r="O69" s="8">
        <f t="shared" si="9"/>
        <v>36227902</v>
      </c>
      <c r="P69" s="8">
        <f>P4+P14+P16+P20+P30+P34+P36+P43+P47+P57+P63</f>
        <v>629608</v>
      </c>
      <c r="Q69" s="8">
        <f>Q4+Q14+Q16+Q20+Q30+Q34+Q36+Q43+Q47+Q57+Q63</f>
        <v>40735667</v>
      </c>
      <c r="R69" s="8">
        <v>40735667</v>
      </c>
      <c r="S69" s="8">
        <f>S4+S14+S16+S20+S30+S34+S36+S43+S47+S57+S63</f>
        <v>1543391</v>
      </c>
      <c r="T69" s="8">
        <f>R69+S69</f>
        <v>42279058</v>
      </c>
      <c r="U69" s="8">
        <v>1543391</v>
      </c>
      <c r="V69" s="27">
        <f t="shared" si="5"/>
        <v>0.03788795209858722</v>
      </c>
      <c r="W69" s="27">
        <f t="shared" si="6"/>
        <v>0.9920973718972671</v>
      </c>
    </row>
    <row r="70" spans="1:23" ht="32.25" customHeight="1" hidden="1">
      <c r="A70" s="24" t="s">
        <v>133</v>
      </c>
      <c r="B70" s="25"/>
      <c r="C70" s="8"/>
      <c r="D70" s="8"/>
      <c r="E70" s="8"/>
      <c r="F70" s="8"/>
      <c r="G70" s="8"/>
      <c r="H70" s="8">
        <v>2042950</v>
      </c>
      <c r="I70" s="8">
        <v>1650770</v>
      </c>
      <c r="J70" s="8">
        <v>2463450</v>
      </c>
      <c r="K70" s="8"/>
      <c r="L70" s="8">
        <f t="shared" si="8"/>
        <v>2463450</v>
      </c>
      <c r="M70" s="8">
        <v>3693720</v>
      </c>
      <c r="N70" s="8"/>
      <c r="O70" s="8">
        <f t="shared" si="9"/>
        <v>3693720</v>
      </c>
      <c r="P70" s="8"/>
      <c r="Q70" s="8">
        <f>G70+P70</f>
        <v>0</v>
      </c>
      <c r="R70" s="8">
        <v>0</v>
      </c>
      <c r="S70" s="8"/>
      <c r="T70" s="8">
        <f>R70+S70</f>
        <v>0</v>
      </c>
      <c r="U70" s="8"/>
      <c r="V70" s="27" t="e">
        <f t="shared" si="5"/>
        <v>#DIV/0!</v>
      </c>
      <c r="W70" s="27">
        <f t="shared" si="6"/>
        <v>0</v>
      </c>
    </row>
    <row r="71" spans="1:23" ht="18.75">
      <c r="A71" s="24" t="s">
        <v>125</v>
      </c>
      <c r="B71" s="25"/>
      <c r="C71" s="8">
        <v>825203</v>
      </c>
      <c r="D71" s="8">
        <f>62619+28937+96+254</f>
        <v>91906</v>
      </c>
      <c r="E71" s="8">
        <f t="shared" si="7"/>
        <v>917109</v>
      </c>
      <c r="F71" s="8">
        <f>1400+6806</f>
        <v>8206</v>
      </c>
      <c r="G71" s="8">
        <f t="shared" si="7"/>
        <v>925315</v>
      </c>
      <c r="H71" s="8">
        <f>3735+116737+797068+9880</f>
        <v>927420</v>
      </c>
      <c r="I71" s="8"/>
      <c r="J71" s="8">
        <v>876720</v>
      </c>
      <c r="K71" s="8"/>
      <c r="L71" s="8">
        <f t="shared" si="8"/>
        <v>876720</v>
      </c>
      <c r="M71" s="8">
        <v>927420</v>
      </c>
      <c r="N71" s="8"/>
      <c r="O71" s="8">
        <f t="shared" si="9"/>
        <v>927420</v>
      </c>
      <c r="P71" s="8"/>
      <c r="Q71" s="8">
        <f>G71+P71</f>
        <v>925315</v>
      </c>
      <c r="R71" s="8">
        <v>925315</v>
      </c>
      <c r="S71" s="8">
        <f>8529+6623-2858</f>
        <v>12294</v>
      </c>
      <c r="T71" s="8">
        <f>R71+S71</f>
        <v>937609</v>
      </c>
      <c r="U71" s="8">
        <v>12294</v>
      </c>
      <c r="V71" s="27">
        <f>U71/R71</f>
        <v>0.013286286291695261</v>
      </c>
      <c r="W71" s="27">
        <f>U71/$U$72</f>
        <v>0.00790262810273288</v>
      </c>
    </row>
    <row r="72" spans="1:23" ht="18.75">
      <c r="A72" s="23" t="s">
        <v>39</v>
      </c>
      <c r="B72" s="23"/>
      <c r="C72" s="8">
        <f>38755530+384575</f>
        <v>39140105</v>
      </c>
      <c r="D72" s="8">
        <f>D71+D69+D70</f>
        <v>3820447</v>
      </c>
      <c r="E72" s="8">
        <f t="shared" si="7"/>
        <v>42960552</v>
      </c>
      <c r="F72" s="8">
        <f>F71+F69+F70</f>
        <v>-1929178</v>
      </c>
      <c r="G72" s="8">
        <f>E72+F72</f>
        <v>41031374</v>
      </c>
      <c r="H72" s="8">
        <f>H71+H69+H70</f>
        <v>40849042</v>
      </c>
      <c r="I72" s="8">
        <f>I71+I69+I70</f>
        <v>0</v>
      </c>
      <c r="J72" s="8">
        <v>42100793</v>
      </c>
      <c r="K72" s="8">
        <f>K71+K69+K70</f>
        <v>0</v>
      </c>
      <c r="L72" s="8">
        <f t="shared" si="8"/>
        <v>42100793</v>
      </c>
      <c r="M72" s="8">
        <v>40849042</v>
      </c>
      <c r="N72" s="8">
        <f>N71+N69+N70</f>
        <v>0</v>
      </c>
      <c r="O72" s="8">
        <f t="shared" si="9"/>
        <v>40849042</v>
      </c>
      <c r="P72" s="8">
        <f>P71+P69+P70</f>
        <v>629608</v>
      </c>
      <c r="Q72" s="8">
        <f>Q71+Q69+Q70</f>
        <v>41660982</v>
      </c>
      <c r="R72" s="8">
        <v>41660982</v>
      </c>
      <c r="S72" s="8">
        <f>S71+S69+S70</f>
        <v>1555685</v>
      </c>
      <c r="T72" s="8">
        <f>R72+S72</f>
        <v>43216667</v>
      </c>
      <c r="U72" s="8">
        <v>1555685</v>
      </c>
      <c r="V72" s="27">
        <f>U72/R72</f>
        <v>0.037341534580245854</v>
      </c>
      <c r="W72" s="27">
        <f>U72/$U$72</f>
        <v>1</v>
      </c>
    </row>
    <row r="73" spans="1:23" ht="18.75">
      <c r="A73" s="21" t="s">
        <v>40</v>
      </c>
      <c r="B73" s="22"/>
      <c r="C73" s="8"/>
      <c r="D73" s="8">
        <f>'[2]Лист1'!$D$125-D72</f>
        <v>-1197460</v>
      </c>
      <c r="E73" s="8">
        <f>'[3]Лист1'!$E$127-E72</f>
        <v>-2052138</v>
      </c>
      <c r="F73" s="8">
        <f>'[3]Лист1'!$F$127-F72</f>
        <v>-1512700</v>
      </c>
      <c r="G73" s="8">
        <f>'[3]Лист1'!$G$129-G72</f>
        <v>-2701954</v>
      </c>
      <c r="H73" s="8">
        <f>'[1]Лист1'!$E$106-H72</f>
        <v>-2153512</v>
      </c>
      <c r="I73" s="8"/>
      <c r="J73" s="8">
        <v>178682</v>
      </c>
      <c r="K73" s="8"/>
      <c r="L73" s="8">
        <f t="shared" si="8"/>
        <v>178682</v>
      </c>
      <c r="M73" s="8">
        <v>38387</v>
      </c>
      <c r="N73" s="8"/>
      <c r="O73" s="8">
        <f t="shared" si="9"/>
        <v>38387</v>
      </c>
      <c r="P73" s="8">
        <f>'[3]Лист1'!$N$129-P72</f>
        <v>-54694</v>
      </c>
      <c r="Q73" s="8">
        <f>'[3]Лист1'!$O$129-Q72</f>
        <v>-2756648</v>
      </c>
      <c r="R73" s="8">
        <v>-2756648</v>
      </c>
      <c r="S73" s="8">
        <f>'[4]Лист1'!$Q$142-S72</f>
        <v>-120458</v>
      </c>
      <c r="T73" s="8">
        <f>'[4]Лист1'!$R$142-T72</f>
        <v>-2877106</v>
      </c>
      <c r="U73" s="8">
        <v>-120458</v>
      </c>
      <c r="V73" s="27">
        <f>U73/R73</f>
        <v>0.04369727291986499</v>
      </c>
      <c r="W73" s="27">
        <f>U73/$U$72</f>
        <v>-0.0774308423620463</v>
      </c>
    </row>
    <row r="74" spans="1:20" s="12" customFormat="1" ht="18.75">
      <c r="A74" s="14"/>
      <c r="B74" s="2"/>
      <c r="C74" s="15"/>
      <c r="D74" s="15"/>
      <c r="E74" s="15"/>
      <c r="F74" s="15"/>
      <c r="G74" s="15"/>
      <c r="H74" s="13"/>
      <c r="I74" s="13"/>
      <c r="J74" s="13"/>
      <c r="K74" s="15"/>
      <c r="L74" s="15"/>
      <c r="M74" s="13"/>
      <c r="N74" s="13"/>
      <c r="O74" s="13"/>
      <c r="P74" s="15"/>
      <c r="Q74" s="15"/>
      <c r="R74" s="15"/>
      <c r="S74" s="15"/>
      <c r="T74" s="15"/>
    </row>
    <row r="75" spans="1:20" s="12" customFormat="1" ht="18.75" hidden="1">
      <c r="A75" s="14"/>
      <c r="B75" s="2"/>
      <c r="C75" s="13" t="s">
        <v>141</v>
      </c>
      <c r="D75" s="13">
        <v>150868</v>
      </c>
      <c r="E75" s="12" t="s">
        <v>83</v>
      </c>
      <c r="F75" s="12">
        <f>-10615</f>
        <v>-10615</v>
      </c>
      <c r="G75" s="12" t="s">
        <v>83</v>
      </c>
      <c r="Q75" s="16"/>
      <c r="R75" s="17" t="s">
        <v>151</v>
      </c>
      <c r="S75" s="17">
        <v>100000</v>
      </c>
      <c r="T75" s="16"/>
    </row>
    <row r="76" spans="1:20" s="12" customFormat="1" ht="33.75" customHeight="1" hidden="1">
      <c r="A76" s="14"/>
      <c r="B76" s="2"/>
      <c r="C76" s="13" t="s">
        <v>83</v>
      </c>
      <c r="D76" s="13">
        <v>71681</v>
      </c>
      <c r="E76" s="13" t="s">
        <v>144</v>
      </c>
      <c r="F76" s="13">
        <v>-298712</v>
      </c>
      <c r="G76" s="13" t="s">
        <v>144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7" t="s">
        <v>130</v>
      </c>
      <c r="S76" s="17">
        <f>132000+503200-623127-5067+3651</f>
        <v>10657</v>
      </c>
      <c r="T76" s="13"/>
    </row>
    <row r="77" spans="1:20" s="12" customFormat="1" ht="18.75" hidden="1">
      <c r="A77" s="14"/>
      <c r="B77" s="2"/>
      <c r="C77" s="17" t="s">
        <v>82</v>
      </c>
      <c r="D77" s="17">
        <v>19093</v>
      </c>
      <c r="E77" s="17" t="s">
        <v>142</v>
      </c>
      <c r="F77" s="17">
        <f>-141728+180</f>
        <v>-141548</v>
      </c>
      <c r="G77" s="17" t="s">
        <v>142</v>
      </c>
      <c r="H77" s="17"/>
      <c r="I77" s="17"/>
      <c r="J77" s="17"/>
      <c r="K77" s="17"/>
      <c r="L77" s="17"/>
      <c r="M77" s="17"/>
      <c r="N77" s="17"/>
      <c r="O77" s="17"/>
      <c r="P77" s="17">
        <f>42562+353974</f>
        <v>396536</v>
      </c>
      <c r="Q77" s="17"/>
      <c r="R77" s="17" t="s">
        <v>83</v>
      </c>
      <c r="S77" s="17">
        <f>544479+6623</f>
        <v>551102</v>
      </c>
      <c r="T77" s="17"/>
    </row>
    <row r="78" spans="1:23" s="12" customFormat="1" ht="18.75" hidden="1">
      <c r="A78" s="14"/>
      <c r="B78" s="2"/>
      <c r="C78" s="13" t="s">
        <v>142</v>
      </c>
      <c r="D78" s="13">
        <v>229133</v>
      </c>
      <c r="E78" s="13" t="s">
        <v>147</v>
      </c>
      <c r="F78" s="13">
        <f>-94975+1400</f>
        <v>-93575</v>
      </c>
      <c r="G78" s="13" t="s">
        <v>147</v>
      </c>
      <c r="H78" s="13"/>
      <c r="I78" s="13"/>
      <c r="J78" s="13"/>
      <c r="K78" s="13"/>
      <c r="L78" s="13"/>
      <c r="M78" s="13"/>
      <c r="N78" s="13"/>
      <c r="O78" s="13"/>
      <c r="P78" s="13">
        <v>-7800</v>
      </c>
      <c r="Q78" s="13"/>
      <c r="R78" s="17" t="s">
        <v>143</v>
      </c>
      <c r="S78" s="17">
        <f>5117-5000+25000</f>
        <v>25117</v>
      </c>
      <c r="T78" s="13"/>
      <c r="U78" s="13"/>
      <c r="V78" s="13"/>
      <c r="W78" s="13"/>
    </row>
    <row r="79" spans="3:19" ht="18.75" hidden="1">
      <c r="C79" s="13" t="s">
        <v>87</v>
      </c>
      <c r="D79" s="13">
        <v>0</v>
      </c>
      <c r="E79" s="13" t="s">
        <v>85</v>
      </c>
      <c r="F79" s="13">
        <v>210341</v>
      </c>
      <c r="G79" s="13" t="s">
        <v>85</v>
      </c>
      <c r="P79" s="13">
        <v>-2000</v>
      </c>
      <c r="R79" s="17" t="s">
        <v>152</v>
      </c>
      <c r="S79" s="17">
        <f>363320+2-2858+17341+16540</f>
        <v>394345</v>
      </c>
    </row>
    <row r="80" spans="3:19" ht="18.75" hidden="1">
      <c r="C80" s="13" t="s">
        <v>143</v>
      </c>
      <c r="D80" s="13">
        <v>813750</v>
      </c>
      <c r="E80" s="13" t="s">
        <v>148</v>
      </c>
      <c r="F80" s="13">
        <v>100000</v>
      </c>
      <c r="G80" s="13" t="s">
        <v>148</v>
      </c>
      <c r="P80" s="13">
        <f>68035-68035</f>
        <v>0</v>
      </c>
      <c r="R80" s="17" t="s">
        <v>144</v>
      </c>
      <c r="S80" s="17">
        <f>197612+12383</f>
        <v>209995</v>
      </c>
    </row>
    <row r="81" spans="3:19" ht="18.75" hidden="1">
      <c r="C81" s="13" t="s">
        <v>144</v>
      </c>
      <c r="D81" s="13">
        <v>1604643</v>
      </c>
      <c r="E81" s="13" t="s">
        <v>143</v>
      </c>
      <c r="F81" s="13">
        <v>-360556</v>
      </c>
      <c r="G81" s="13" t="s">
        <v>143</v>
      </c>
      <c r="P81" s="13">
        <v>243461</v>
      </c>
      <c r="R81" s="17" t="s">
        <v>153</v>
      </c>
      <c r="S81" s="17">
        <f>-68477+308+818+23000</f>
        <v>-44351</v>
      </c>
    </row>
    <row r="82" spans="3:19" ht="18.75" hidden="1">
      <c r="C82" s="13" t="s">
        <v>86</v>
      </c>
      <c r="D82" s="13">
        <f>SUM(D75:D81)</f>
        <v>2889168</v>
      </c>
      <c r="E82" s="13" t="s">
        <v>86</v>
      </c>
      <c r="F82" s="13">
        <f>SUM(F75:F81)</f>
        <v>-594665</v>
      </c>
      <c r="G82" s="13" t="s">
        <v>86</v>
      </c>
      <c r="P82" s="13">
        <f>SUM(P75:P81)</f>
        <v>630197</v>
      </c>
      <c r="R82" s="17" t="s">
        <v>84</v>
      </c>
      <c r="S82" s="17">
        <v>300000</v>
      </c>
    </row>
    <row r="83" spans="6:19" ht="18.75" hidden="1">
      <c r="F83" s="17">
        <f>F72-F82</f>
        <v>-1334513</v>
      </c>
      <c r="P83" s="17">
        <f>P72-P82</f>
        <v>-589</v>
      </c>
      <c r="R83" s="17" t="s">
        <v>82</v>
      </c>
      <c r="S83" s="17">
        <v>8820</v>
      </c>
    </row>
    <row r="84" spans="18:19" ht="18.75" hidden="1">
      <c r="R84" s="17"/>
      <c r="S84" s="17"/>
    </row>
    <row r="85" spans="16:19" ht="18.75" hidden="1">
      <c r="P85" s="17"/>
      <c r="R85" s="17"/>
      <c r="S85" s="17"/>
    </row>
    <row r="86" spans="18:19" ht="18.75" hidden="1">
      <c r="R86" s="17"/>
      <c r="S86" s="17"/>
    </row>
    <row r="87" spans="18:19" ht="18.75" hidden="1">
      <c r="R87" s="17" t="s">
        <v>81</v>
      </c>
      <c r="S87" s="17">
        <f>SUM(S75:S86)</f>
        <v>1555685</v>
      </c>
    </row>
    <row r="88" spans="18:19" ht="18.75" hidden="1">
      <c r="R88" s="17"/>
      <c r="S88" s="17">
        <f>S87-S72</f>
        <v>0</v>
      </c>
    </row>
    <row r="89" spans="18:19" ht="17.25" customHeight="1" hidden="1">
      <c r="R89" s="17"/>
      <c r="S89" s="17"/>
    </row>
    <row r="90" spans="18:19" ht="18" customHeight="1">
      <c r="R90" s="17"/>
      <c r="S90" s="17"/>
    </row>
    <row r="91" spans="18:19" ht="18.75">
      <c r="R91" s="17"/>
      <c r="S91" s="17"/>
    </row>
    <row r="92" spans="18:19" ht="18.75">
      <c r="R92" s="17"/>
      <c r="S92" s="17"/>
    </row>
    <row r="93" spans="18:19" ht="18.75">
      <c r="R93" s="17"/>
      <c r="S93" s="17"/>
    </row>
    <row r="94" spans="18:19" ht="18.75">
      <c r="R94" s="17"/>
      <c r="S94" s="17"/>
    </row>
    <row r="95" spans="18:19" ht="18.75">
      <c r="R95" s="17"/>
      <c r="S95" s="17"/>
    </row>
    <row r="96" spans="18:19" ht="18.75">
      <c r="R96" s="17"/>
      <c r="S96" s="17"/>
    </row>
    <row r="97" spans="18:19" ht="18.75">
      <c r="R97" s="17"/>
      <c r="S97" s="17"/>
    </row>
    <row r="98" spans="18:19" ht="18.75">
      <c r="R98" s="17"/>
      <c r="S98" s="17"/>
    </row>
    <row r="99" spans="18:19" ht="18.75">
      <c r="R99" s="17"/>
      <c r="S99" s="17"/>
    </row>
    <row r="100" spans="18:19" ht="18.75">
      <c r="R100" s="17"/>
      <c r="S100" s="17"/>
    </row>
    <row r="101" spans="18:19" ht="18.75">
      <c r="R101" s="17"/>
      <c r="S101" s="17"/>
    </row>
  </sheetData>
  <sheetProtection/>
  <mergeCells count="6">
    <mergeCell ref="A1:U1"/>
    <mergeCell ref="A73:B73"/>
    <mergeCell ref="A69:B69"/>
    <mergeCell ref="A72:B72"/>
    <mergeCell ref="A71:B71"/>
    <mergeCell ref="A70:B70"/>
  </mergeCells>
  <printOptions horizontalCentered="1"/>
  <pageMargins left="0.7874015748031497" right="0" top="0.7874015748031497" bottom="0.7874015748031497" header="0.3937007874015748" footer="0.15748031496062992"/>
  <pageSetup fitToHeight="0" fitToWidth="0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Чернышев Петр Сергеевич</cp:lastModifiedBy>
  <cp:lastPrinted>2009-09-30T05:30:43Z</cp:lastPrinted>
  <dcterms:created xsi:type="dcterms:W3CDTF">2004-11-13T08:03:22Z</dcterms:created>
  <dcterms:modified xsi:type="dcterms:W3CDTF">2009-09-30T06:20:48Z</dcterms:modified>
  <cp:category/>
  <cp:version/>
  <cp:contentType/>
  <cp:contentStatus/>
</cp:coreProperties>
</file>